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ttps://chmiccorp-my.sharepoint.com/personal/dejan_blagojevic_chmic_ca/Documents/Desktop/"/>
    </mc:Choice>
  </mc:AlternateContent>
  <xr:revisionPtr revIDLastSave="3" documentId="11_ED82C5FDDA2E5B88FC517CF94B74A927123D0BA7" xr6:coauthVersionLast="47" xr6:coauthVersionMax="47" xr10:uidLastSave="{45C0799D-6248-41B0-9DA7-47F202904CA7}"/>
  <bookViews>
    <workbookView xWindow="-13150" yWindow="10690" windowWidth="22780" windowHeight="14540" activeTab="2" xr2:uid="{00000000-000D-0000-FFFF-FFFF00000000}"/>
  </bookViews>
  <sheets>
    <sheet name="Title" sheetId="16" r:id="rId1"/>
    <sheet name="Instructions" sheetId="1" r:id="rId2"/>
    <sheet name="Debt Tool" sheetId="11" r:id="rId3"/>
    <sheet name="Credit Tips" sheetId="9" r:id="rId4"/>
    <sheet name="Equifax Credit Request" sheetId="19" r:id="rId5"/>
    <sheet name="TransUnion Credit Request" sheetId="20" r:id="rId6"/>
    <sheet name="TransUnion Investigation reques" sheetId="21" r:id="rId7"/>
    <sheet name="Equifax Report Update Form" sheetId="22" r:id="rId8"/>
    <sheet name="Amortization Schedule" sheetId="17" r:id="rId9"/>
    <sheet name="Data" sheetId="12" r:id="rId10"/>
  </sheets>
  <externalReferences>
    <externalReference r:id="rId11"/>
  </externalReferences>
  <definedNames>
    <definedName name="Amortization">Data!$E$4:$E$13</definedName>
    <definedName name="Arrears">Data!$K$4:$K$13</definedName>
    <definedName name="ClientProfile">OFFSET(#REF!,1,0,COUNTA(#REF!),1)</definedName>
    <definedName name="Lead">OFFSET(#REF!,1,0,COUNTA(#REF!),1)</definedName>
    <definedName name="Lenders">OFFSET(#REF!,1,0,COUNTA(#REF!),1)</definedName>
    <definedName name="Mortgage_Term">Data!$G$4:$G$7</definedName>
    <definedName name="Payout_Recommendation">Data!$M$4:$M$7</definedName>
    <definedName name="Prepayment">Data!$I$4:$I$10</definedName>
    <definedName name="_xlnm.Print_Area" localSheetId="3">'Credit Tips'!$A$1:$T$207</definedName>
    <definedName name="_xlnm.Print_Area" localSheetId="2">'Debt Tool'!$A$1:$AZ$178</definedName>
    <definedName name="_xlnm.Print_Area" localSheetId="1">Instructions!$A$1:$AB$53</definedName>
    <definedName name="_xlnm.Print_Area" localSheetId="0">Title!$C$5:$S$20</definedName>
    <definedName name="Property_Type">[1]Data!$B$3:$B$15</definedName>
    <definedName name="Type_of_Credit">Data!$B$4:$B$12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1" i="11" l="1"/>
  <c r="AF40" i="11"/>
  <c r="L62" i="11"/>
  <c r="AS45" i="11"/>
  <c r="V66" i="11"/>
  <c r="I64" i="11"/>
  <c r="AA18" i="11"/>
  <c r="AE18" i="11"/>
  <c r="AA19" i="11"/>
  <c r="AE19" i="11"/>
  <c r="AA20" i="11"/>
  <c r="AE20" i="11"/>
  <c r="AA21" i="11"/>
  <c r="AE21" i="11"/>
  <c r="AA22" i="11"/>
  <c r="AE22" i="11"/>
  <c r="AA23" i="11"/>
  <c r="AE23" i="11"/>
  <c r="I5" i="17" l="1"/>
  <c r="I3" i="17"/>
  <c r="I2" i="17"/>
  <c r="I67" i="11"/>
  <c r="I65" i="11"/>
  <c r="AS48" i="11"/>
  <c r="AS44" i="11"/>
  <c r="AS43" i="11"/>
  <c r="AS42" i="11"/>
  <c r="K117" i="11" s="1"/>
  <c r="K120" i="11" s="1"/>
  <c r="AL40" i="11"/>
  <c r="C4" i="17" l="1"/>
  <c r="E4" i="17"/>
  <c r="AV92" i="11"/>
  <c r="AV93" i="11"/>
  <c r="AV94" i="11"/>
  <c r="AV95" i="11"/>
  <c r="AV96" i="11"/>
  <c r="AV97" i="11"/>
  <c r="AV98" i="11"/>
  <c r="AV99" i="11"/>
  <c r="AV100" i="11"/>
  <c r="AY100" i="11" s="1"/>
  <c r="AV101" i="11"/>
  <c r="AV102" i="11"/>
  <c r="AY102" i="11" s="1"/>
  <c r="AV103" i="11"/>
  <c r="AY103" i="11" s="1"/>
  <c r="AV104" i="11"/>
  <c r="AY104" i="11" s="1"/>
  <c r="AV105" i="11"/>
  <c r="AY105" i="11" s="1"/>
  <c r="AV106" i="11"/>
  <c r="AY106" i="11" s="1"/>
  <c r="AV107" i="11"/>
  <c r="AY107" i="11" s="1"/>
  <c r="AV108" i="11"/>
  <c r="AY108" i="11" s="1"/>
  <c r="AV109" i="11"/>
  <c r="AY109" i="11" s="1"/>
  <c r="AV110" i="11"/>
  <c r="AY110" i="11" s="1"/>
  <c r="AV91" i="11"/>
  <c r="D4" i="17" l="1"/>
  <c r="F4" i="17" s="1"/>
  <c r="K123" i="11"/>
  <c r="P31" i="11"/>
  <c r="T31" i="11"/>
  <c r="AS46" i="11" l="1"/>
  <c r="AS51" i="11" s="1"/>
  <c r="V67" i="11"/>
  <c r="E5" i="17"/>
  <c r="V64" i="11"/>
  <c r="E18" i="12"/>
  <c r="B19" i="12"/>
  <c r="B18" i="12"/>
  <c r="E17" i="12"/>
  <c r="I66" i="11"/>
  <c r="Z56" i="11"/>
  <c r="AS52" i="11" s="1"/>
  <c r="I56" i="11"/>
  <c r="AS49" i="11" l="1"/>
  <c r="C5" i="17"/>
  <c r="B30" i="11"/>
  <c r="B29" i="11"/>
  <c r="B28" i="11"/>
  <c r="B27" i="11"/>
  <c r="B26" i="11"/>
  <c r="B25" i="11"/>
  <c r="B24" i="11"/>
  <c r="B23" i="11"/>
  <c r="B22" i="11"/>
  <c r="B21" i="11"/>
  <c r="AY101" i="11" s="1"/>
  <c r="B20" i="11"/>
  <c r="B19" i="11"/>
  <c r="AY99" i="11" s="1"/>
  <c r="B18" i="11"/>
  <c r="AY98" i="11" s="1"/>
  <c r="B17" i="11"/>
  <c r="AY97" i="11" s="1"/>
  <c r="B16" i="11"/>
  <c r="AY96" i="11" s="1"/>
  <c r="B15" i="11"/>
  <c r="AY95" i="11" s="1"/>
  <c r="B14" i="11"/>
  <c r="AY94" i="11" s="1"/>
  <c r="B13" i="11"/>
  <c r="AY93" i="11" s="1"/>
  <c r="B12" i="11"/>
  <c r="AY92" i="11" s="1"/>
  <c r="B11" i="11"/>
  <c r="AY91" i="11" s="1"/>
  <c r="AA11" i="11"/>
  <c r="AE11" i="11"/>
  <c r="D5" i="17" l="1"/>
  <c r="F5" i="17" s="1"/>
  <c r="AZ92" i="11" a="1"/>
  <c r="AZ92" i="11" s="1"/>
  <c r="B92" i="11" s="1"/>
  <c r="AZ94" i="11" a="1"/>
  <c r="AZ94" i="11" s="1"/>
  <c r="B94" i="11" s="1"/>
  <c r="AZ96" i="11" a="1"/>
  <c r="AZ96" i="11" s="1"/>
  <c r="B96" i="11" s="1"/>
  <c r="AZ98" i="11" a="1"/>
  <c r="AZ98" i="11" s="1"/>
  <c r="B98" i="11" s="1"/>
  <c r="AZ100" i="11" a="1"/>
  <c r="AZ100" i="11" s="1"/>
  <c r="B100" i="11" s="1"/>
  <c r="AZ102" i="11" a="1"/>
  <c r="AZ102" i="11" s="1"/>
  <c r="B102" i="11" s="1"/>
  <c r="AZ104" i="11" a="1"/>
  <c r="AZ104" i="11" s="1"/>
  <c r="B104" i="11" s="1"/>
  <c r="AZ106" i="11" a="1"/>
  <c r="AZ106" i="11" s="1"/>
  <c r="B106" i="11" s="1"/>
  <c r="AZ108" i="11" a="1"/>
  <c r="AZ108" i="11" s="1"/>
  <c r="B108" i="11" s="1"/>
  <c r="AZ110" i="11" a="1"/>
  <c r="AZ110" i="11" s="1"/>
  <c r="B110" i="11" s="1"/>
  <c r="AZ93" i="11" a="1"/>
  <c r="AZ93" i="11" s="1"/>
  <c r="B93" i="11" s="1"/>
  <c r="AZ95" i="11" a="1"/>
  <c r="AZ95" i="11" s="1"/>
  <c r="B95" i="11" s="1"/>
  <c r="AZ97" i="11" a="1"/>
  <c r="AZ97" i="11" s="1"/>
  <c r="B97" i="11" s="1"/>
  <c r="AZ99" i="11" a="1"/>
  <c r="AZ99" i="11" s="1"/>
  <c r="B99" i="11" s="1"/>
  <c r="AZ101" i="11" a="1"/>
  <c r="AZ101" i="11" s="1"/>
  <c r="B101" i="11" s="1"/>
  <c r="AZ103" i="11" a="1"/>
  <c r="AZ103" i="11" s="1"/>
  <c r="B103" i="11" s="1"/>
  <c r="AZ105" i="11" a="1"/>
  <c r="AZ105" i="11" s="1"/>
  <c r="B105" i="11" s="1"/>
  <c r="AZ107" i="11" a="1"/>
  <c r="AZ107" i="11" s="1"/>
  <c r="B107" i="11" s="1"/>
  <c r="AZ109" i="11" a="1"/>
  <c r="AZ109" i="11" s="1"/>
  <c r="B109" i="11" s="1"/>
  <c r="AZ91" i="11" a="1"/>
  <c r="AZ91" i="11" s="1"/>
  <c r="B91" i="11" s="1"/>
  <c r="X31" i="11"/>
  <c r="AS47" i="11" s="1"/>
  <c r="AS53" i="11" l="1"/>
  <c r="AS50" i="11"/>
  <c r="E6" i="17"/>
  <c r="AJ109" i="11"/>
  <c r="C109" i="11"/>
  <c r="AP109" i="11"/>
  <c r="AJ105" i="11"/>
  <c r="C105" i="11"/>
  <c r="AP105" i="11"/>
  <c r="AJ101" i="11"/>
  <c r="C101" i="11"/>
  <c r="AP101" i="11"/>
  <c r="AJ97" i="11"/>
  <c r="C97" i="11"/>
  <c r="AP97" i="11"/>
  <c r="AJ93" i="11"/>
  <c r="C93" i="11"/>
  <c r="AP93" i="11"/>
  <c r="AP108" i="11"/>
  <c r="AJ108" i="11"/>
  <c r="C108" i="11"/>
  <c r="AP104" i="11"/>
  <c r="AJ104" i="11"/>
  <c r="C104" i="11"/>
  <c r="AP100" i="11"/>
  <c r="AJ100" i="11"/>
  <c r="C100" i="11"/>
  <c r="AP96" i="11"/>
  <c r="AJ96" i="11"/>
  <c r="C96" i="11"/>
  <c r="AP92" i="11"/>
  <c r="C92" i="11"/>
  <c r="AJ92" i="11"/>
  <c r="C91" i="11"/>
  <c r="AJ91" i="11"/>
  <c r="AP91" i="11"/>
  <c r="AP107" i="11"/>
  <c r="AJ107" i="11"/>
  <c r="C107" i="11"/>
  <c r="AP103" i="11"/>
  <c r="AJ103" i="11"/>
  <c r="C103" i="11"/>
  <c r="AP99" i="11"/>
  <c r="AJ99" i="11"/>
  <c r="C99" i="11"/>
  <c r="AP95" i="11"/>
  <c r="AJ95" i="11"/>
  <c r="C95" i="11"/>
  <c r="C110" i="11"/>
  <c r="AP110" i="11"/>
  <c r="AJ110" i="11"/>
  <c r="C106" i="11"/>
  <c r="AP106" i="11"/>
  <c r="AJ106" i="11"/>
  <c r="C102" i="11"/>
  <c r="AP102" i="11"/>
  <c r="AJ102" i="11"/>
  <c r="C98" i="11"/>
  <c r="AP98" i="11"/>
  <c r="AJ98" i="11"/>
  <c r="C94" i="11"/>
  <c r="AP94" i="11"/>
  <c r="AJ94" i="11"/>
  <c r="AM31" i="11"/>
  <c r="C6" i="17" l="1"/>
  <c r="AP111" i="11"/>
  <c r="AJ111" i="11"/>
  <c r="AA14" i="11"/>
  <c r="D6" i="17" l="1"/>
  <c r="F6" i="17" s="1"/>
  <c r="K124" i="11"/>
  <c r="K122" i="11"/>
  <c r="F18" i="12"/>
  <c r="F17" i="12"/>
  <c r="E7" i="17" l="1"/>
  <c r="C7" i="17" s="1"/>
  <c r="D7" i="17" s="1"/>
  <c r="F7" i="17" s="1"/>
  <c r="E8" i="17" s="1"/>
  <c r="C8" i="17" s="1"/>
  <c r="AV68" i="11"/>
  <c r="AV69" i="11" s="1"/>
  <c r="AV71" i="11" s="1"/>
  <c r="AI68" i="11"/>
  <c r="AI69" i="11" s="1"/>
  <c r="AI71" i="11" s="1"/>
  <c r="AI80" i="11" s="1"/>
  <c r="V69" i="11"/>
  <c r="I68" i="11"/>
  <c r="I69" i="11" s="1"/>
  <c r="I71" i="11" l="1"/>
  <c r="V76" i="11"/>
  <c r="D8" i="17"/>
  <c r="F8" i="17" s="1"/>
  <c r="E9" i="17" s="1"/>
  <c r="C9" i="17" s="1"/>
  <c r="D9" i="17" s="1"/>
  <c r="F9" i="17" s="1"/>
  <c r="E10" i="17" s="1"/>
  <c r="C10" i="17" s="1"/>
  <c r="D10" i="17" s="1"/>
  <c r="F10" i="17" s="1"/>
  <c r="E11" i="17" s="1"/>
  <c r="C11" i="17" s="1"/>
  <c r="D11" i="17" s="1"/>
  <c r="F11" i="17" s="1"/>
  <c r="E12" i="17" s="1"/>
  <c r="C12" i="17" s="1"/>
  <c r="D12" i="17" s="1"/>
  <c r="F12" i="17" s="1"/>
  <c r="E13" i="17" s="1"/>
  <c r="C13" i="17" s="1"/>
  <c r="D13" i="17" s="1"/>
  <c r="F13" i="17" s="1"/>
  <c r="E14" i="17" s="1"/>
  <c r="C14" i="17" s="1"/>
  <c r="D14" i="17" s="1"/>
  <c r="F14" i="17" s="1"/>
  <c r="AV76" i="11"/>
  <c r="AV78" i="11" s="1"/>
  <c r="AV80" i="11"/>
  <c r="AI76" i="11"/>
  <c r="AI78" i="11" s="1"/>
  <c r="AE12" i="11"/>
  <c r="AE13" i="11"/>
  <c r="AE14" i="11"/>
  <c r="AE15" i="11"/>
  <c r="AE16" i="11"/>
  <c r="AE17" i="11"/>
  <c r="AE24" i="11"/>
  <c r="AE25" i="11"/>
  <c r="AE26" i="11"/>
  <c r="AE27" i="11"/>
  <c r="AE28" i="11"/>
  <c r="AE29" i="11"/>
  <c r="AE30" i="11"/>
  <c r="V78" i="11" l="1"/>
  <c r="K119" i="11" s="1"/>
  <c r="K125" i="11" s="1"/>
  <c r="V80" i="11"/>
  <c r="K118" i="11" s="1"/>
  <c r="I76" i="11"/>
  <c r="E15" i="17"/>
  <c r="C15" i="17" s="1"/>
  <c r="D15" i="17" s="1"/>
  <c r="F15" i="17" s="1"/>
  <c r="AE31" i="11"/>
  <c r="AA30" i="11"/>
  <c r="AA29" i="11"/>
  <c r="AA28" i="11"/>
  <c r="AA27" i="11"/>
  <c r="AA26" i="11"/>
  <c r="AA25" i="11"/>
  <c r="AA24" i="11"/>
  <c r="AA17" i="11"/>
  <c r="AA16" i="11"/>
  <c r="AA15" i="11"/>
  <c r="AA13" i="11"/>
  <c r="AA12" i="11"/>
  <c r="I78" i="11" l="1"/>
  <c r="E16" i="17"/>
  <c r="C16" i="17" s="1"/>
  <c r="D16" i="17" s="1"/>
  <c r="F16" i="17" s="1"/>
  <c r="E17" i="17" s="1"/>
  <c r="C17" i="17" s="1"/>
  <c r="D17" i="17" s="1"/>
  <c r="F17" i="17" s="1"/>
  <c r="E18" i="17" s="1"/>
  <c r="C18" i="17" s="1"/>
  <c r="D18" i="17" s="1"/>
  <c r="F18" i="17" s="1"/>
  <c r="E19" i="17" s="1"/>
  <c r="C19" i="17" s="1"/>
  <c r="D19" i="17" s="1"/>
  <c r="F19" i="17" s="1"/>
  <c r="E20" i="17" s="1"/>
  <c r="C20" i="17" s="1"/>
  <c r="D20" i="17" s="1"/>
  <c r="F20" i="17" s="1"/>
  <c r="AA31" i="11"/>
  <c r="E21" i="17" l="1"/>
  <c r="C21" i="17" s="1"/>
  <c r="D21" i="17" s="1"/>
  <c r="F21" i="17" s="1"/>
  <c r="E22" i="17" s="1"/>
  <c r="C22" i="17" s="1"/>
  <c r="D22" i="17" s="1"/>
  <c r="F22" i="17" s="1"/>
  <c r="E23" i="17" s="1"/>
  <c r="C23" i="17" s="1"/>
  <c r="D23" i="17" s="1"/>
  <c r="F23" i="17" s="1"/>
  <c r="E24" i="17" s="1"/>
  <c r="C24" i="17" s="1"/>
  <c r="D24" i="17" s="1"/>
  <c r="F24" i="17" s="1"/>
  <c r="E25" i="17" s="1"/>
  <c r="C25" i="17" s="1"/>
  <c r="D25" i="17" s="1"/>
  <c r="F25" i="17" s="1"/>
  <c r="E26" i="17" s="1"/>
  <c r="C26" i="17" s="1"/>
  <c r="D26" i="17" s="1"/>
  <c r="F26" i="17" s="1"/>
  <c r="E27" i="17" s="1"/>
  <c r="C27" i="17" s="1"/>
  <c r="D27" i="17" s="1"/>
  <c r="F27" i="17" s="1"/>
  <c r="E28" i="17" s="1"/>
  <c r="C28" i="17" s="1"/>
  <c r="D28" i="17" s="1"/>
  <c r="F28" i="17" s="1"/>
  <c r="AV79" i="11"/>
  <c r="AI79" i="11"/>
  <c r="E29" i="17" l="1"/>
  <c r="C29" i="17" s="1"/>
  <c r="D29" i="17" s="1"/>
  <c r="F29" i="17" s="1"/>
  <c r="V79" i="11"/>
  <c r="B112" i="11" s="1"/>
  <c r="I79" i="11"/>
  <c r="E30" i="17" l="1"/>
  <c r="C30" i="17" s="1"/>
  <c r="D30" i="17" s="1"/>
  <c r="F30" i="17" s="1"/>
  <c r="E31" i="17" l="1"/>
  <c r="C31" i="17" s="1"/>
  <c r="D31" i="17" s="1"/>
  <c r="F31" i="17" s="1"/>
  <c r="E32" i="17" l="1"/>
  <c r="C32" i="17" s="1"/>
  <c r="D32" i="17" s="1"/>
  <c r="F32" i="17" s="1"/>
  <c r="E33" i="17" l="1"/>
  <c r="C33" i="17" s="1"/>
  <c r="D33" i="17" s="1"/>
  <c r="F33" i="17" s="1"/>
  <c r="E34" i="17" l="1"/>
  <c r="C34" i="17" s="1"/>
  <c r="D34" i="17" s="1"/>
  <c r="F34" i="17" s="1"/>
  <c r="E35" i="17" l="1"/>
  <c r="C35" i="17" s="1"/>
  <c r="D35" i="17" s="1"/>
  <c r="F35" i="17" s="1"/>
  <c r="E36" i="17" l="1"/>
  <c r="C36" i="17" s="1"/>
  <c r="D36" i="17" s="1"/>
  <c r="F36" i="17" s="1"/>
  <c r="E37" i="17" l="1"/>
  <c r="C37" i="17" s="1"/>
  <c r="D37" i="17" s="1"/>
  <c r="F37" i="17" s="1"/>
  <c r="E38" i="17" l="1"/>
  <c r="C38" i="17" s="1"/>
  <c r="D38" i="17" s="1"/>
  <c r="F38" i="17" s="1"/>
  <c r="E39" i="17" l="1"/>
  <c r="C39" i="17" s="1"/>
  <c r="D39" i="17" s="1"/>
  <c r="F39" i="17" s="1"/>
  <c r="E40" i="17" l="1"/>
  <c r="C40" i="17" s="1"/>
  <c r="D40" i="17" s="1"/>
  <c r="F40" i="17" s="1"/>
  <c r="E41" i="17" l="1"/>
  <c r="C41" i="17" s="1"/>
  <c r="D41" i="17" s="1"/>
  <c r="F41" i="17" s="1"/>
  <c r="E42" i="17" l="1"/>
  <c r="C42" i="17" s="1"/>
  <c r="D42" i="17" s="1"/>
  <c r="F42" i="17" s="1"/>
  <c r="E43" i="17" l="1"/>
  <c r="C43" i="17" s="1"/>
  <c r="D43" i="17" s="1"/>
  <c r="F43" i="17" s="1"/>
  <c r="E44" i="17" l="1"/>
  <c r="C44" i="17" s="1"/>
  <c r="D44" i="17" s="1"/>
  <c r="F44" i="17" s="1"/>
  <c r="E45" i="17" l="1"/>
  <c r="C45" i="17" s="1"/>
  <c r="D45" i="17" s="1"/>
  <c r="F45" i="17" s="1"/>
  <c r="E46" i="17" l="1"/>
  <c r="C46" i="17" s="1"/>
  <c r="D46" i="17" s="1"/>
  <c r="F46" i="17" s="1"/>
  <c r="E47" i="17" l="1"/>
  <c r="C47" i="17" s="1"/>
  <c r="D47" i="17" s="1"/>
  <c r="F47" i="17" s="1"/>
  <c r="E48" i="17" l="1"/>
  <c r="C48" i="17" s="1"/>
  <c r="D48" i="17" s="1"/>
  <c r="F48" i="17" s="1"/>
  <c r="E49" i="17" l="1"/>
  <c r="C49" i="17" s="1"/>
  <c r="D49" i="17" s="1"/>
  <c r="F49" i="17" s="1"/>
  <c r="E50" i="17" l="1"/>
  <c r="C50" i="17" s="1"/>
  <c r="D50" i="17" s="1"/>
  <c r="F50" i="17" s="1"/>
  <c r="E51" i="17" l="1"/>
  <c r="C51" i="17" s="1"/>
  <c r="D51" i="17" s="1"/>
  <c r="F51" i="17" s="1"/>
  <c r="E52" i="17" l="1"/>
  <c r="C52" i="17" s="1"/>
  <c r="D52" i="17" s="1"/>
  <c r="F52" i="17" s="1"/>
  <c r="E53" i="17" l="1"/>
  <c r="C53" i="17" s="1"/>
  <c r="D53" i="17" s="1"/>
  <c r="F53" i="17" s="1"/>
  <c r="E54" i="17" l="1"/>
  <c r="C54" i="17" s="1"/>
  <c r="D54" i="17" s="1"/>
  <c r="F54" i="17" s="1"/>
  <c r="E55" i="17" l="1"/>
  <c r="C55" i="17" s="1"/>
  <c r="D55" i="17" s="1"/>
  <c r="F55" i="17" s="1"/>
  <c r="E56" i="17" l="1"/>
  <c r="C56" i="17" s="1"/>
  <c r="D56" i="17" s="1"/>
  <c r="F56" i="17" s="1"/>
  <c r="E57" i="17" l="1"/>
  <c r="C57" i="17" s="1"/>
  <c r="D57" i="17" s="1"/>
  <c r="F57" i="17" s="1"/>
  <c r="E58" i="17" l="1"/>
  <c r="C58" i="17" s="1"/>
  <c r="D58" i="17" s="1"/>
  <c r="F58" i="17" s="1"/>
  <c r="E59" i="17" l="1"/>
  <c r="C59" i="17" s="1"/>
  <c r="D59" i="17" s="1"/>
  <c r="F59" i="17" s="1"/>
  <c r="E60" i="17" l="1"/>
  <c r="C60" i="17" s="1"/>
  <c r="D60" i="17" s="1"/>
  <c r="F60" i="17" s="1"/>
  <c r="E61" i="17" l="1"/>
  <c r="C61" i="17" s="1"/>
  <c r="D61" i="17" s="1"/>
  <c r="F61" i="17" s="1"/>
  <c r="E62" i="17" l="1"/>
  <c r="C62" i="17" s="1"/>
  <c r="D62" i="17" s="1"/>
  <c r="F62" i="17" s="1"/>
  <c r="E63" i="17" l="1"/>
  <c r="C63" i="17" s="1"/>
  <c r="D63" i="17" s="1"/>
  <c r="F63" i="17" s="1"/>
  <c r="E64" i="17" l="1"/>
  <c r="C64" i="17" s="1"/>
  <c r="D64" i="17" s="1"/>
  <c r="F64" i="17" s="1"/>
  <c r="E65" i="17" l="1"/>
  <c r="C65" i="17" s="1"/>
  <c r="D65" i="17" s="1"/>
  <c r="F65" i="17" s="1"/>
  <c r="E66" i="17" l="1"/>
  <c r="C66" i="17" s="1"/>
  <c r="D66" i="17" s="1"/>
  <c r="F66" i="17" s="1"/>
  <c r="E67" i="17" l="1"/>
  <c r="C67" i="17" s="1"/>
  <c r="D67" i="17" s="1"/>
  <c r="F67" i="17" s="1"/>
  <c r="E68" i="17" l="1"/>
  <c r="C68" i="17" s="1"/>
  <c r="D68" i="17" s="1"/>
  <c r="F68" i="17" s="1"/>
  <c r="E69" i="17" l="1"/>
  <c r="C69" i="17" s="1"/>
  <c r="D69" i="17" s="1"/>
  <c r="F69" i="17" s="1"/>
  <c r="E70" i="17" l="1"/>
  <c r="C70" i="17" s="1"/>
  <c r="D70" i="17" s="1"/>
  <c r="F70" i="17" s="1"/>
  <c r="E71" i="17" l="1"/>
  <c r="C71" i="17" s="1"/>
  <c r="D71" i="17" s="1"/>
  <c r="F71" i="17" s="1"/>
  <c r="E72" i="17" l="1"/>
  <c r="C72" i="17" s="1"/>
  <c r="D72" i="17" s="1"/>
  <c r="F72" i="17" s="1"/>
  <c r="E73" i="17" l="1"/>
  <c r="C73" i="17" s="1"/>
  <c r="D73" i="17" s="1"/>
  <c r="F73" i="17" s="1"/>
  <c r="E74" i="17" l="1"/>
  <c r="C74" i="17" s="1"/>
  <c r="D74" i="17" s="1"/>
  <c r="F74" i="17" s="1"/>
  <c r="E75" i="17" l="1"/>
  <c r="C75" i="17" s="1"/>
  <c r="D75" i="17" s="1"/>
  <c r="F75" i="17" s="1"/>
  <c r="E76" i="17" l="1"/>
  <c r="C76" i="17" s="1"/>
  <c r="D76" i="17" s="1"/>
  <c r="F76" i="17" s="1"/>
  <c r="E77" i="17" l="1"/>
  <c r="C77" i="17" s="1"/>
  <c r="D77" i="17" s="1"/>
  <c r="F77" i="17" s="1"/>
  <c r="E78" i="17" l="1"/>
  <c r="C78" i="17" s="1"/>
  <c r="D78" i="17" s="1"/>
  <c r="F78" i="17" s="1"/>
  <c r="E79" i="17" l="1"/>
  <c r="C79" i="17" s="1"/>
  <c r="D79" i="17" s="1"/>
  <c r="F79" i="17" s="1"/>
  <c r="E80" i="17" l="1"/>
  <c r="C80" i="17" s="1"/>
  <c r="D80" i="17" s="1"/>
  <c r="F80" i="17" s="1"/>
  <c r="E81" i="17" l="1"/>
  <c r="C81" i="17" s="1"/>
  <c r="D81" i="17" s="1"/>
  <c r="F81" i="17" s="1"/>
  <c r="E82" i="17" l="1"/>
  <c r="C82" i="17" s="1"/>
  <c r="D82" i="17" s="1"/>
  <c r="F82" i="17" s="1"/>
  <c r="E83" i="17" l="1"/>
  <c r="C83" i="17" s="1"/>
  <c r="D83" i="17" s="1"/>
  <c r="F83" i="17" s="1"/>
  <c r="E84" i="17" l="1"/>
  <c r="C84" i="17" s="1"/>
  <c r="D84" i="17" s="1"/>
  <c r="F84" i="17" s="1"/>
  <c r="E85" i="17" l="1"/>
  <c r="C85" i="17" s="1"/>
  <c r="D85" i="17" s="1"/>
  <c r="F85" i="17" s="1"/>
  <c r="E86" i="17" l="1"/>
  <c r="C86" i="17" s="1"/>
  <c r="D86" i="17" s="1"/>
  <c r="F86" i="17" s="1"/>
  <c r="E87" i="17" l="1"/>
  <c r="C87" i="17" s="1"/>
  <c r="D87" i="17" s="1"/>
  <c r="F87" i="17" s="1"/>
  <c r="E88" i="17" l="1"/>
  <c r="C88" i="17" s="1"/>
  <c r="D88" i="17" s="1"/>
  <c r="F88" i="17" s="1"/>
  <c r="E89" i="17" l="1"/>
  <c r="C89" i="17" s="1"/>
  <c r="D89" i="17" s="1"/>
  <c r="F89" i="17" s="1"/>
  <c r="E90" i="17" l="1"/>
  <c r="C90" i="17" s="1"/>
  <c r="D90" i="17" s="1"/>
  <c r="F90" i="17" s="1"/>
  <c r="E91" i="17" l="1"/>
  <c r="C91" i="17" s="1"/>
  <c r="D91" i="17" s="1"/>
  <c r="F91" i="17" s="1"/>
  <c r="E92" i="17" l="1"/>
  <c r="C92" i="17" s="1"/>
  <c r="D92" i="17" s="1"/>
  <c r="F92" i="17" s="1"/>
  <c r="E93" i="17" l="1"/>
  <c r="C93" i="17" s="1"/>
  <c r="D93" i="17" s="1"/>
  <c r="F93" i="17" s="1"/>
  <c r="E94" i="17" l="1"/>
  <c r="C94" i="17" s="1"/>
  <c r="D94" i="17" s="1"/>
  <c r="F94" i="17" s="1"/>
  <c r="E95" i="17" l="1"/>
  <c r="C95" i="17" s="1"/>
  <c r="D95" i="17" s="1"/>
  <c r="F95" i="17" s="1"/>
  <c r="E96" i="17" l="1"/>
  <c r="C96" i="17" s="1"/>
  <c r="D96" i="17" s="1"/>
  <c r="F96" i="17" s="1"/>
  <c r="E97" i="17" l="1"/>
  <c r="C97" i="17" s="1"/>
  <c r="D97" i="17" s="1"/>
  <c r="F97" i="17" s="1"/>
  <c r="E98" i="17" l="1"/>
  <c r="C98" i="17" s="1"/>
  <c r="D98" i="17" s="1"/>
  <c r="F98" i="17" s="1"/>
  <c r="E99" i="17" l="1"/>
  <c r="C99" i="17" s="1"/>
  <c r="D99" i="17" s="1"/>
  <c r="F99" i="17" s="1"/>
  <c r="E100" i="17" l="1"/>
  <c r="C100" i="17" s="1"/>
  <c r="D100" i="17" s="1"/>
  <c r="F100" i="17" s="1"/>
  <c r="E101" i="17" l="1"/>
  <c r="C101" i="17" s="1"/>
  <c r="D101" i="17" s="1"/>
  <c r="F101" i="17" s="1"/>
  <c r="E102" i="17" l="1"/>
  <c r="C102" i="17" s="1"/>
  <c r="D102" i="17" s="1"/>
  <c r="F102" i="17" s="1"/>
  <c r="E103" i="17" l="1"/>
  <c r="C103" i="17" s="1"/>
  <c r="D103" i="17" s="1"/>
  <c r="F103" i="17" s="1"/>
  <c r="E104" i="17" l="1"/>
  <c r="C104" i="17" s="1"/>
  <c r="D104" i="17" s="1"/>
  <c r="F104" i="17" s="1"/>
  <c r="E105" i="17" l="1"/>
  <c r="C105" i="17" s="1"/>
  <c r="D105" i="17" s="1"/>
  <c r="F105" i="17" s="1"/>
  <c r="E106" i="17" l="1"/>
  <c r="C106" i="17" s="1"/>
  <c r="D106" i="17" s="1"/>
  <c r="F106" i="17" s="1"/>
  <c r="E107" i="17" l="1"/>
  <c r="C107" i="17" s="1"/>
  <c r="D107" i="17" s="1"/>
  <c r="F107" i="17" s="1"/>
  <c r="E108" i="17" l="1"/>
  <c r="C108" i="17" s="1"/>
  <c r="D108" i="17" s="1"/>
  <c r="F108" i="17" s="1"/>
  <c r="E109" i="17" l="1"/>
  <c r="C109" i="17" s="1"/>
  <c r="D109" i="17" s="1"/>
  <c r="F109" i="17" s="1"/>
  <c r="E110" i="17" l="1"/>
  <c r="C110" i="17" s="1"/>
  <c r="D110" i="17" s="1"/>
  <c r="F110" i="17" s="1"/>
  <c r="E111" i="17" l="1"/>
  <c r="C111" i="17" s="1"/>
  <c r="D111" i="17" s="1"/>
  <c r="F111" i="17" s="1"/>
  <c r="E112" i="17" l="1"/>
  <c r="C112" i="17" s="1"/>
  <c r="D112" i="17" s="1"/>
  <c r="F112" i="17" s="1"/>
  <c r="E113" i="17" l="1"/>
  <c r="C113" i="17" s="1"/>
  <c r="D113" i="17" s="1"/>
  <c r="F113" i="17" s="1"/>
  <c r="E114" i="17" l="1"/>
  <c r="C114" i="17" s="1"/>
  <c r="D114" i="17" s="1"/>
  <c r="F114" i="17" s="1"/>
  <c r="E115" i="17" l="1"/>
  <c r="C115" i="17" s="1"/>
  <c r="D115" i="17" s="1"/>
  <c r="F115" i="17" s="1"/>
  <c r="E116" i="17" l="1"/>
  <c r="C116" i="17" s="1"/>
  <c r="D116" i="17" s="1"/>
  <c r="F116" i="17" s="1"/>
  <c r="E117" i="17" l="1"/>
  <c r="C117" i="17" s="1"/>
  <c r="D117" i="17" s="1"/>
  <c r="F117" i="17" s="1"/>
  <c r="E118" i="17" l="1"/>
  <c r="C118" i="17" s="1"/>
  <c r="D118" i="17" s="1"/>
  <c r="F118" i="17" s="1"/>
  <c r="E119" i="17" l="1"/>
  <c r="C119" i="17" s="1"/>
  <c r="D119" i="17" s="1"/>
  <c r="F119" i="17" s="1"/>
  <c r="E120" i="17" l="1"/>
  <c r="C120" i="17" s="1"/>
  <c r="D120" i="17" s="1"/>
  <c r="F120" i="17" s="1"/>
  <c r="E121" i="17" l="1"/>
  <c r="C121" i="17" s="1"/>
  <c r="D121" i="17" s="1"/>
  <c r="F121" i="17" s="1"/>
  <c r="E122" i="17" l="1"/>
  <c r="C122" i="17" s="1"/>
  <c r="D122" i="17" s="1"/>
  <c r="F122" i="17" s="1"/>
  <c r="E123" i="17" l="1"/>
  <c r="C123" i="17" s="1"/>
  <c r="D123" i="17" s="1"/>
  <c r="F123" i="17" s="1"/>
  <c r="E124" i="17" l="1"/>
  <c r="C124" i="17" s="1"/>
  <c r="D124" i="17" s="1"/>
  <c r="F124" i="17" s="1"/>
  <c r="E125" i="17" l="1"/>
  <c r="C125" i="17" s="1"/>
  <c r="D125" i="17" s="1"/>
  <c r="F125" i="17" s="1"/>
  <c r="E126" i="17" l="1"/>
  <c r="C126" i="17" s="1"/>
  <c r="D126" i="17" s="1"/>
  <c r="F126" i="17" s="1"/>
  <c r="E127" i="17" l="1"/>
  <c r="C127" i="17" s="1"/>
  <c r="D127" i="17" s="1"/>
  <c r="F127" i="17" s="1"/>
  <c r="E128" i="17" l="1"/>
  <c r="C128" i="17" s="1"/>
  <c r="D128" i="17" s="1"/>
  <c r="F128" i="17" s="1"/>
  <c r="E129" i="17" l="1"/>
  <c r="C129" i="17" s="1"/>
  <c r="D129" i="17" s="1"/>
  <c r="F129" i="17" s="1"/>
  <c r="E130" i="17" l="1"/>
  <c r="C130" i="17" s="1"/>
  <c r="D130" i="17" s="1"/>
  <c r="F130" i="17" s="1"/>
  <c r="E131" i="17" l="1"/>
  <c r="C131" i="17" s="1"/>
  <c r="D131" i="17" s="1"/>
  <c r="F131" i="17" s="1"/>
  <c r="E132" i="17" l="1"/>
  <c r="C132" i="17" s="1"/>
  <c r="D132" i="17" s="1"/>
  <c r="F132" i="17" s="1"/>
  <c r="E133" i="17" l="1"/>
  <c r="C133" i="17" s="1"/>
  <c r="D133" i="17" s="1"/>
  <c r="F133" i="17" s="1"/>
  <c r="E134" i="17" l="1"/>
  <c r="C134" i="17" s="1"/>
  <c r="D134" i="17" s="1"/>
  <c r="F134" i="17" s="1"/>
  <c r="E135" i="17" l="1"/>
  <c r="C135" i="17" s="1"/>
  <c r="D135" i="17" s="1"/>
  <c r="F135" i="17" s="1"/>
  <c r="E136" i="17" l="1"/>
  <c r="C136" i="17" s="1"/>
  <c r="D136" i="17" s="1"/>
  <c r="F136" i="17" s="1"/>
  <c r="E137" i="17" l="1"/>
  <c r="C137" i="17" s="1"/>
  <c r="D137" i="17" s="1"/>
  <c r="F137" i="17" s="1"/>
  <c r="E138" i="17" l="1"/>
  <c r="C138" i="17" s="1"/>
  <c r="D138" i="17" s="1"/>
  <c r="F138" i="17" s="1"/>
  <c r="E139" i="17" l="1"/>
  <c r="C139" i="17" s="1"/>
  <c r="D139" i="17" s="1"/>
  <c r="F139" i="17" s="1"/>
  <c r="E140" i="17" l="1"/>
  <c r="C140" i="17" s="1"/>
  <c r="D140" i="17" s="1"/>
  <c r="F140" i="17" s="1"/>
  <c r="E141" i="17" l="1"/>
  <c r="C141" i="17" s="1"/>
  <c r="D141" i="17" s="1"/>
  <c r="F141" i="17" s="1"/>
  <c r="E142" i="17" l="1"/>
  <c r="C142" i="17" s="1"/>
  <c r="D142" i="17" s="1"/>
  <c r="F142" i="17" s="1"/>
  <c r="E143" i="17" l="1"/>
  <c r="C143" i="17" s="1"/>
  <c r="D143" i="17" s="1"/>
  <c r="F143" i="17" s="1"/>
  <c r="E144" i="17" l="1"/>
  <c r="C144" i="17" s="1"/>
  <c r="D144" i="17" s="1"/>
  <c r="F144" i="17" s="1"/>
  <c r="E145" i="17" l="1"/>
  <c r="C145" i="17" s="1"/>
  <c r="D145" i="17" s="1"/>
  <c r="F145" i="17" s="1"/>
  <c r="E146" i="17" l="1"/>
  <c r="C146" i="17" s="1"/>
  <c r="D146" i="17" s="1"/>
  <c r="F146" i="17" s="1"/>
  <c r="E147" i="17" l="1"/>
  <c r="C147" i="17" s="1"/>
  <c r="D147" i="17" s="1"/>
  <c r="F147" i="17" s="1"/>
  <c r="E148" i="17" l="1"/>
  <c r="C148" i="17" s="1"/>
  <c r="D148" i="17" s="1"/>
  <c r="F148" i="17" s="1"/>
  <c r="E149" i="17" l="1"/>
  <c r="C149" i="17" s="1"/>
  <c r="D149" i="17" s="1"/>
  <c r="F149" i="17" s="1"/>
  <c r="E150" i="17" l="1"/>
  <c r="C150" i="17" s="1"/>
  <c r="D150" i="17" s="1"/>
  <c r="F150" i="17" s="1"/>
  <c r="E151" i="17" l="1"/>
  <c r="C151" i="17" s="1"/>
  <c r="D151" i="17" s="1"/>
  <c r="F151" i="17" s="1"/>
  <c r="E152" i="17" l="1"/>
  <c r="C152" i="17" s="1"/>
  <c r="D152" i="17" s="1"/>
  <c r="F152" i="17" s="1"/>
  <c r="E153" i="17" l="1"/>
  <c r="C153" i="17" s="1"/>
  <c r="D153" i="17" s="1"/>
  <c r="F153" i="17" s="1"/>
  <c r="E154" i="17" l="1"/>
  <c r="C154" i="17" s="1"/>
  <c r="D154" i="17" s="1"/>
  <c r="F154" i="17" s="1"/>
  <c r="E155" i="17" l="1"/>
  <c r="C155" i="17" s="1"/>
  <c r="D155" i="17" s="1"/>
  <c r="F155" i="17" s="1"/>
  <c r="E156" i="17" l="1"/>
  <c r="C156" i="17" s="1"/>
  <c r="D156" i="17" s="1"/>
  <c r="F156" i="17" s="1"/>
  <c r="E157" i="17" l="1"/>
  <c r="C157" i="17" s="1"/>
  <c r="D157" i="17" s="1"/>
  <c r="F157" i="17" s="1"/>
  <c r="E158" i="17" l="1"/>
  <c r="C158" i="17" s="1"/>
  <c r="D158" i="17" s="1"/>
  <c r="F158" i="17" s="1"/>
  <c r="E159" i="17" l="1"/>
  <c r="C159" i="17" s="1"/>
  <c r="D159" i="17" s="1"/>
  <c r="F159" i="17" s="1"/>
  <c r="E160" i="17" l="1"/>
  <c r="C160" i="17" s="1"/>
  <c r="D160" i="17" s="1"/>
  <c r="F160" i="17" s="1"/>
  <c r="E161" i="17" l="1"/>
  <c r="C161" i="17" s="1"/>
  <c r="D161" i="17" s="1"/>
  <c r="F161" i="17" s="1"/>
  <c r="E162" i="17" l="1"/>
  <c r="C162" i="17" s="1"/>
  <c r="D162" i="17" s="1"/>
  <c r="F162" i="17" s="1"/>
  <c r="E163" i="17" l="1"/>
  <c r="C163" i="17" s="1"/>
  <c r="D163" i="17" s="1"/>
  <c r="F163" i="17" s="1"/>
  <c r="E164" i="17" l="1"/>
  <c r="C164" i="17" s="1"/>
  <c r="D164" i="17" s="1"/>
  <c r="F164" i="17" s="1"/>
  <c r="E165" i="17" l="1"/>
  <c r="C165" i="17" s="1"/>
  <c r="D165" i="17" s="1"/>
  <c r="F165" i="17" s="1"/>
  <c r="E166" i="17" l="1"/>
  <c r="C166" i="17" s="1"/>
  <c r="D166" i="17" s="1"/>
  <c r="F166" i="17" s="1"/>
  <c r="E167" i="17" l="1"/>
  <c r="C167" i="17" s="1"/>
  <c r="D167" i="17" s="1"/>
  <c r="F167" i="17" s="1"/>
  <c r="E168" i="17" l="1"/>
  <c r="C168" i="17" s="1"/>
  <c r="D168" i="17" s="1"/>
  <c r="F168" i="17" s="1"/>
  <c r="E169" i="17" l="1"/>
  <c r="C169" i="17" s="1"/>
  <c r="D169" i="17" s="1"/>
  <c r="F169" i="17" s="1"/>
  <c r="E170" i="17" l="1"/>
  <c r="C170" i="17" s="1"/>
  <c r="D170" i="17" s="1"/>
  <c r="F170" i="17" s="1"/>
  <c r="E171" i="17" l="1"/>
  <c r="C171" i="17" s="1"/>
  <c r="D171" i="17" s="1"/>
  <c r="F171" i="17" s="1"/>
  <c r="E172" i="17" l="1"/>
  <c r="C172" i="17" s="1"/>
  <c r="D172" i="17" s="1"/>
  <c r="F172" i="17" s="1"/>
  <c r="E173" i="17" l="1"/>
  <c r="C173" i="17" s="1"/>
  <c r="D173" i="17" s="1"/>
  <c r="F173" i="17" s="1"/>
  <c r="E174" i="17" l="1"/>
  <c r="C174" i="17" s="1"/>
  <c r="D174" i="17" s="1"/>
  <c r="F174" i="17" s="1"/>
  <c r="E175" i="17" l="1"/>
  <c r="C175" i="17" s="1"/>
  <c r="D175" i="17" s="1"/>
  <c r="F175" i="17" s="1"/>
  <c r="E176" i="17" l="1"/>
  <c r="C176" i="17" s="1"/>
  <c r="D176" i="17" s="1"/>
  <c r="F176" i="17" s="1"/>
  <c r="E177" i="17" l="1"/>
  <c r="C177" i="17" s="1"/>
  <c r="D177" i="17" s="1"/>
  <c r="F177" i="17" s="1"/>
  <c r="E178" i="17" l="1"/>
  <c r="C178" i="17" s="1"/>
  <c r="D178" i="17" s="1"/>
  <c r="F178" i="17" s="1"/>
  <c r="E179" i="17" l="1"/>
  <c r="C179" i="17" s="1"/>
  <c r="D179" i="17" s="1"/>
  <c r="F179" i="17" s="1"/>
  <c r="E180" i="17" l="1"/>
  <c r="C180" i="17" s="1"/>
  <c r="D180" i="17" s="1"/>
  <c r="F180" i="17" s="1"/>
  <c r="E181" i="17" l="1"/>
  <c r="C181" i="17" s="1"/>
  <c r="D181" i="17" s="1"/>
  <c r="F181" i="17" s="1"/>
  <c r="E182" i="17" l="1"/>
  <c r="C182" i="17" s="1"/>
  <c r="D182" i="17" s="1"/>
  <c r="F182" i="17" s="1"/>
  <c r="E183" i="17" l="1"/>
  <c r="C183" i="17" s="1"/>
  <c r="D183" i="17" s="1"/>
  <c r="F183" i="17" s="1"/>
  <c r="E184" i="17" l="1"/>
  <c r="C184" i="17" s="1"/>
  <c r="D184" i="17" s="1"/>
  <c r="F184" i="17" s="1"/>
  <c r="E185" i="17" l="1"/>
  <c r="C185" i="17" s="1"/>
  <c r="D185" i="17" s="1"/>
  <c r="F185" i="17" s="1"/>
  <c r="E186" i="17" l="1"/>
  <c r="C186" i="17" s="1"/>
  <c r="D186" i="17" s="1"/>
  <c r="F186" i="17" s="1"/>
  <c r="E187" i="17" l="1"/>
  <c r="C187" i="17" s="1"/>
  <c r="D187" i="17" s="1"/>
  <c r="F187" i="17" s="1"/>
  <c r="E188" i="17" l="1"/>
  <c r="C188" i="17" s="1"/>
  <c r="D188" i="17" s="1"/>
  <c r="F188" i="17" s="1"/>
  <c r="E189" i="17" l="1"/>
  <c r="C189" i="17" s="1"/>
  <c r="D189" i="17" s="1"/>
  <c r="F189" i="17" s="1"/>
  <c r="E190" i="17" l="1"/>
  <c r="C190" i="17" s="1"/>
  <c r="D190" i="17" s="1"/>
  <c r="F190" i="17" s="1"/>
  <c r="E191" i="17" l="1"/>
  <c r="C191" i="17" s="1"/>
  <c r="D191" i="17" s="1"/>
  <c r="F191" i="17" s="1"/>
  <c r="E192" i="17" l="1"/>
  <c r="C192" i="17" s="1"/>
  <c r="D192" i="17" s="1"/>
  <c r="F192" i="17" s="1"/>
  <c r="E193" i="17" l="1"/>
  <c r="C193" i="17" s="1"/>
  <c r="D193" i="17" s="1"/>
  <c r="F193" i="17" s="1"/>
  <c r="E194" i="17" l="1"/>
  <c r="C194" i="17" s="1"/>
  <c r="D194" i="17" s="1"/>
  <c r="F194" i="17" s="1"/>
  <c r="E195" i="17" l="1"/>
  <c r="C195" i="17" s="1"/>
  <c r="D195" i="17" s="1"/>
  <c r="F195" i="17" s="1"/>
  <c r="E196" i="17" l="1"/>
  <c r="C196" i="17" s="1"/>
  <c r="D196" i="17" s="1"/>
  <c r="F196" i="17" s="1"/>
  <c r="E197" i="17" l="1"/>
  <c r="C197" i="17" s="1"/>
  <c r="D197" i="17" s="1"/>
  <c r="F197" i="17" s="1"/>
  <c r="E198" i="17" l="1"/>
  <c r="C198" i="17" s="1"/>
  <c r="D198" i="17" s="1"/>
  <c r="F198" i="17" s="1"/>
  <c r="E199" i="17" l="1"/>
  <c r="C199" i="17" s="1"/>
  <c r="D199" i="17" s="1"/>
  <c r="F199" i="17" s="1"/>
  <c r="E200" i="17" l="1"/>
  <c r="C200" i="17" s="1"/>
  <c r="D200" i="17" s="1"/>
  <c r="F200" i="17" s="1"/>
  <c r="E201" i="17" l="1"/>
  <c r="C201" i="17" s="1"/>
  <c r="D201" i="17" s="1"/>
  <c r="F201" i="17" s="1"/>
  <c r="E202" i="17" l="1"/>
  <c r="C202" i="17" s="1"/>
  <c r="D202" i="17" s="1"/>
  <c r="F202" i="17" s="1"/>
  <c r="E203" i="17" l="1"/>
  <c r="C203" i="17" s="1"/>
  <c r="D203" i="17" s="1"/>
  <c r="F203" i="17" s="1"/>
  <c r="E204" i="17" l="1"/>
  <c r="C204" i="17" s="1"/>
  <c r="D204" i="17" s="1"/>
  <c r="F204" i="17" s="1"/>
  <c r="E205" i="17" l="1"/>
  <c r="C205" i="17" s="1"/>
  <c r="D205" i="17" s="1"/>
  <c r="F205" i="17" s="1"/>
  <c r="E206" i="17" l="1"/>
  <c r="C206" i="17" s="1"/>
  <c r="D206" i="17" s="1"/>
  <c r="F206" i="17" s="1"/>
  <c r="E207" i="17" l="1"/>
  <c r="C207" i="17" s="1"/>
  <c r="D207" i="17" s="1"/>
  <c r="F207" i="17" s="1"/>
  <c r="E208" i="17" l="1"/>
  <c r="C208" i="17" s="1"/>
  <c r="D208" i="17" s="1"/>
  <c r="F208" i="17" s="1"/>
  <c r="E209" i="17" l="1"/>
  <c r="C209" i="17" s="1"/>
  <c r="D209" i="17" s="1"/>
  <c r="F209" i="17" s="1"/>
  <c r="E210" i="17" l="1"/>
  <c r="C210" i="17" s="1"/>
  <c r="D210" i="17" s="1"/>
  <c r="F210" i="17" s="1"/>
  <c r="E211" i="17" l="1"/>
  <c r="C211" i="17" s="1"/>
  <c r="D211" i="17" s="1"/>
  <c r="F211" i="17" s="1"/>
  <c r="E212" i="17" l="1"/>
  <c r="C212" i="17" s="1"/>
  <c r="D212" i="17" s="1"/>
  <c r="F212" i="17" s="1"/>
  <c r="E213" i="17" l="1"/>
  <c r="C213" i="17" s="1"/>
  <c r="D213" i="17" s="1"/>
  <c r="F213" i="17" s="1"/>
  <c r="E214" i="17" l="1"/>
  <c r="C214" i="17" s="1"/>
  <c r="D214" i="17" s="1"/>
  <c r="F214" i="17" s="1"/>
  <c r="E215" i="17" l="1"/>
  <c r="C215" i="17" s="1"/>
  <c r="D215" i="17" s="1"/>
  <c r="F215" i="17" s="1"/>
  <c r="E216" i="17" l="1"/>
  <c r="C216" i="17" s="1"/>
  <c r="D216" i="17" s="1"/>
  <c r="F216" i="17" s="1"/>
  <c r="E217" i="17" l="1"/>
  <c r="C217" i="17" s="1"/>
  <c r="D217" i="17" s="1"/>
  <c r="F217" i="17" s="1"/>
  <c r="E218" i="17" l="1"/>
  <c r="C218" i="17" s="1"/>
  <c r="D218" i="17" s="1"/>
  <c r="F218" i="17" s="1"/>
  <c r="E219" i="17" l="1"/>
  <c r="C219" i="17" s="1"/>
  <c r="D219" i="17" s="1"/>
  <c r="F219" i="17" s="1"/>
  <c r="E220" i="17" l="1"/>
  <c r="C220" i="17" s="1"/>
  <c r="D220" i="17" s="1"/>
  <c r="F220" i="17" s="1"/>
  <c r="E221" i="17" l="1"/>
  <c r="C221" i="17" s="1"/>
  <c r="D221" i="17" s="1"/>
  <c r="F221" i="17" s="1"/>
  <c r="E222" i="17" l="1"/>
  <c r="C222" i="17" s="1"/>
  <c r="D222" i="17" s="1"/>
  <c r="F222" i="17" s="1"/>
  <c r="E223" i="17" l="1"/>
  <c r="C223" i="17" s="1"/>
  <c r="D223" i="17" s="1"/>
  <c r="F223" i="17" s="1"/>
  <c r="E224" i="17" l="1"/>
  <c r="C224" i="17" s="1"/>
  <c r="D224" i="17" s="1"/>
  <c r="F224" i="17" s="1"/>
  <c r="E225" i="17" l="1"/>
  <c r="C225" i="17" s="1"/>
  <c r="D225" i="17" s="1"/>
  <c r="F225" i="17" s="1"/>
  <c r="E226" i="17" l="1"/>
  <c r="C226" i="17" s="1"/>
  <c r="D226" i="17" s="1"/>
  <c r="F226" i="17" s="1"/>
  <c r="E227" i="17" l="1"/>
  <c r="C227" i="17" s="1"/>
  <c r="D227" i="17" s="1"/>
  <c r="F227" i="17" s="1"/>
  <c r="E228" i="17" l="1"/>
  <c r="C228" i="17" s="1"/>
  <c r="D228" i="17" s="1"/>
  <c r="F228" i="17" s="1"/>
  <c r="E229" i="17" l="1"/>
  <c r="C229" i="17" s="1"/>
  <c r="D229" i="17" s="1"/>
  <c r="F229" i="17" s="1"/>
  <c r="E230" i="17" l="1"/>
  <c r="C230" i="17" s="1"/>
  <c r="D230" i="17" s="1"/>
  <c r="F230" i="17" s="1"/>
  <c r="E231" i="17" l="1"/>
  <c r="C231" i="17" s="1"/>
  <c r="D231" i="17" s="1"/>
  <c r="F231" i="17" s="1"/>
  <c r="E232" i="17" l="1"/>
  <c r="C232" i="17" s="1"/>
  <c r="D232" i="17" s="1"/>
  <c r="F232" i="17" s="1"/>
  <c r="E233" i="17" l="1"/>
  <c r="C233" i="17" s="1"/>
  <c r="D233" i="17" s="1"/>
  <c r="F233" i="17" s="1"/>
  <c r="E234" i="17" l="1"/>
  <c r="C234" i="17" s="1"/>
  <c r="D234" i="17" s="1"/>
  <c r="F234" i="17" s="1"/>
  <c r="E235" i="17" l="1"/>
  <c r="C235" i="17" s="1"/>
  <c r="D235" i="17" s="1"/>
  <c r="F235" i="17" s="1"/>
  <c r="E236" i="17" l="1"/>
  <c r="C236" i="17" s="1"/>
  <c r="D236" i="17" s="1"/>
  <c r="F236" i="17" s="1"/>
  <c r="E237" i="17" l="1"/>
  <c r="C237" i="17" s="1"/>
  <c r="D237" i="17" s="1"/>
  <c r="F237" i="17" s="1"/>
  <c r="E238" i="17" l="1"/>
  <c r="C238" i="17" s="1"/>
  <c r="D238" i="17" s="1"/>
  <c r="F238" i="17" s="1"/>
  <c r="E239" i="17" l="1"/>
  <c r="C239" i="17" s="1"/>
  <c r="D239" i="17" s="1"/>
  <c r="F239" i="17" s="1"/>
  <c r="E240" i="17" l="1"/>
  <c r="C240" i="17" s="1"/>
  <c r="D240" i="17" s="1"/>
  <c r="F240" i="17" s="1"/>
  <c r="E241" i="17" l="1"/>
  <c r="C241" i="17" s="1"/>
  <c r="D241" i="17" s="1"/>
  <c r="F241" i="17" s="1"/>
  <c r="E242" i="17" l="1"/>
  <c r="C242" i="17" s="1"/>
  <c r="D242" i="17" s="1"/>
  <c r="F242" i="17" s="1"/>
  <c r="E243" i="17" l="1"/>
  <c r="C243" i="17" s="1"/>
  <c r="D243" i="17" s="1"/>
  <c r="F243" i="17" s="1"/>
  <c r="E244" i="17" l="1"/>
  <c r="C244" i="17" s="1"/>
  <c r="D244" i="17" s="1"/>
  <c r="F244" i="17" s="1"/>
  <c r="E245" i="17" l="1"/>
  <c r="C245" i="17" s="1"/>
  <c r="D245" i="17" s="1"/>
  <c r="F245" i="17" s="1"/>
  <c r="E246" i="17" l="1"/>
  <c r="C246" i="17" s="1"/>
  <c r="D246" i="17" s="1"/>
  <c r="F246" i="17" s="1"/>
  <c r="E247" i="17" l="1"/>
  <c r="C247" i="17" s="1"/>
  <c r="D247" i="17" s="1"/>
  <c r="F247" i="17" s="1"/>
  <c r="E248" i="17" l="1"/>
  <c r="C248" i="17" s="1"/>
  <c r="D248" i="17" s="1"/>
  <c r="F248" i="17" s="1"/>
  <c r="E249" i="17" l="1"/>
  <c r="C249" i="17" s="1"/>
  <c r="D249" i="17" s="1"/>
  <c r="F249" i="17" s="1"/>
  <c r="E250" i="17" l="1"/>
  <c r="C250" i="17" s="1"/>
  <c r="D250" i="17" s="1"/>
  <c r="F250" i="17" s="1"/>
  <c r="E251" i="17" l="1"/>
  <c r="C251" i="17" s="1"/>
  <c r="D251" i="17" s="1"/>
  <c r="F251" i="17" s="1"/>
  <c r="E252" i="17" l="1"/>
  <c r="C252" i="17" s="1"/>
  <c r="D252" i="17" s="1"/>
  <c r="F252" i="17" s="1"/>
  <c r="E253" i="17" l="1"/>
  <c r="C253" i="17" s="1"/>
  <c r="D253" i="17" s="1"/>
  <c r="F253" i="17" s="1"/>
  <c r="E254" i="17" l="1"/>
  <c r="C254" i="17" s="1"/>
  <c r="D254" i="17" s="1"/>
  <c r="F254" i="17" s="1"/>
  <c r="E255" i="17" l="1"/>
  <c r="C255" i="17" s="1"/>
  <c r="D255" i="17" s="1"/>
  <c r="F255" i="17" s="1"/>
  <c r="E256" i="17" l="1"/>
  <c r="C256" i="17" s="1"/>
  <c r="D256" i="17" s="1"/>
  <c r="F256" i="17" s="1"/>
  <c r="E257" i="17" l="1"/>
  <c r="C257" i="17" s="1"/>
  <c r="D257" i="17" s="1"/>
  <c r="F257" i="17" s="1"/>
  <c r="E258" i="17" l="1"/>
  <c r="C258" i="17" s="1"/>
  <c r="D258" i="17" s="1"/>
  <c r="F258" i="17" s="1"/>
  <c r="E259" i="17" l="1"/>
  <c r="C259" i="17" s="1"/>
  <c r="D259" i="17" s="1"/>
  <c r="F259" i="17" s="1"/>
  <c r="E260" i="17" l="1"/>
  <c r="C260" i="17" s="1"/>
  <c r="D260" i="17" s="1"/>
  <c r="F260" i="17" s="1"/>
  <c r="E261" i="17" l="1"/>
  <c r="C261" i="17" s="1"/>
  <c r="D261" i="17" s="1"/>
  <c r="F261" i="17" s="1"/>
  <c r="E262" i="17" l="1"/>
  <c r="C262" i="17" s="1"/>
  <c r="D262" i="17" s="1"/>
  <c r="F262" i="17" s="1"/>
  <c r="E263" i="17" l="1"/>
  <c r="C263" i="17" s="1"/>
  <c r="D263" i="17" s="1"/>
  <c r="F263" i="17" s="1"/>
  <c r="E264" i="17" l="1"/>
  <c r="C264" i="17" s="1"/>
  <c r="D264" i="17" s="1"/>
  <c r="F264" i="17" s="1"/>
  <c r="E265" i="17" l="1"/>
  <c r="C265" i="17" s="1"/>
  <c r="D265" i="17" s="1"/>
  <c r="F265" i="17" s="1"/>
  <c r="E266" i="17" l="1"/>
  <c r="C266" i="17" s="1"/>
  <c r="D266" i="17" s="1"/>
  <c r="F266" i="17" s="1"/>
  <c r="E267" i="17" l="1"/>
  <c r="C267" i="17" s="1"/>
  <c r="D267" i="17" s="1"/>
  <c r="F267" i="17" s="1"/>
  <c r="E268" i="17" l="1"/>
  <c r="C268" i="17" s="1"/>
  <c r="D268" i="17" s="1"/>
  <c r="F268" i="17" s="1"/>
  <c r="E269" i="17" l="1"/>
  <c r="C269" i="17" s="1"/>
  <c r="D269" i="17" s="1"/>
  <c r="F269" i="17" s="1"/>
  <c r="E270" i="17" l="1"/>
  <c r="C270" i="17" s="1"/>
  <c r="D270" i="17" s="1"/>
  <c r="F270" i="17" s="1"/>
  <c r="E271" i="17" l="1"/>
  <c r="C271" i="17" s="1"/>
  <c r="D271" i="17" s="1"/>
  <c r="F271" i="17" s="1"/>
  <c r="E272" i="17" l="1"/>
  <c r="C272" i="17" s="1"/>
  <c r="D272" i="17" s="1"/>
  <c r="F272" i="17" s="1"/>
  <c r="E273" i="17" l="1"/>
  <c r="C273" i="17" s="1"/>
  <c r="D273" i="17" s="1"/>
  <c r="F273" i="17" s="1"/>
  <c r="E274" i="17" l="1"/>
  <c r="C274" i="17" s="1"/>
  <c r="D274" i="17" s="1"/>
  <c r="F274" i="17" s="1"/>
  <c r="E275" i="17" l="1"/>
  <c r="C275" i="17" s="1"/>
  <c r="D275" i="17" s="1"/>
  <c r="F275" i="17" s="1"/>
  <c r="E276" i="17" l="1"/>
  <c r="C276" i="17" s="1"/>
  <c r="D276" i="17" s="1"/>
  <c r="F276" i="17" s="1"/>
  <c r="E277" i="17" l="1"/>
  <c r="C277" i="17" s="1"/>
  <c r="D277" i="17" s="1"/>
  <c r="F277" i="17" s="1"/>
  <c r="E278" i="17" l="1"/>
  <c r="C278" i="17" s="1"/>
  <c r="D278" i="17" s="1"/>
  <c r="F278" i="17" s="1"/>
  <c r="E279" i="17" l="1"/>
  <c r="C279" i="17" s="1"/>
  <c r="D279" i="17" s="1"/>
  <c r="F279" i="17" s="1"/>
  <c r="E280" i="17" l="1"/>
  <c r="C280" i="17" s="1"/>
  <c r="D280" i="17" s="1"/>
  <c r="F280" i="17" s="1"/>
  <c r="E281" i="17" l="1"/>
  <c r="C281" i="17" s="1"/>
  <c r="D281" i="17" s="1"/>
  <c r="F281" i="17" s="1"/>
  <c r="E282" i="17" l="1"/>
  <c r="C282" i="17" s="1"/>
  <c r="D282" i="17" s="1"/>
  <c r="F282" i="17" s="1"/>
  <c r="E283" i="17" l="1"/>
  <c r="C283" i="17" s="1"/>
  <c r="D283" i="17" s="1"/>
  <c r="F283" i="17" s="1"/>
  <c r="E284" i="17" l="1"/>
  <c r="C284" i="17" s="1"/>
  <c r="D284" i="17" s="1"/>
  <c r="F284" i="17" s="1"/>
  <c r="E285" i="17" l="1"/>
  <c r="C285" i="17" s="1"/>
  <c r="D285" i="17" s="1"/>
  <c r="F285" i="17" s="1"/>
  <c r="E286" i="17" l="1"/>
  <c r="C286" i="17" s="1"/>
  <c r="D286" i="17" s="1"/>
  <c r="F286" i="17" s="1"/>
  <c r="E287" i="17" l="1"/>
  <c r="C287" i="17" s="1"/>
  <c r="D287" i="17" s="1"/>
  <c r="F287" i="17" s="1"/>
  <c r="E288" i="17" l="1"/>
  <c r="C288" i="17" s="1"/>
  <c r="D288" i="17" s="1"/>
  <c r="F288" i="17" s="1"/>
  <c r="E289" i="17" l="1"/>
  <c r="C289" i="17" s="1"/>
  <c r="D289" i="17" s="1"/>
  <c r="F289" i="17" s="1"/>
  <c r="E290" i="17" l="1"/>
  <c r="C290" i="17" s="1"/>
  <c r="D290" i="17" s="1"/>
  <c r="F290" i="17" s="1"/>
  <c r="E291" i="17" l="1"/>
  <c r="C291" i="17" s="1"/>
  <c r="D291" i="17" s="1"/>
  <c r="F291" i="17" s="1"/>
  <c r="E292" i="17" l="1"/>
  <c r="C292" i="17" s="1"/>
  <c r="D292" i="17" s="1"/>
  <c r="F292" i="17" s="1"/>
  <c r="E293" i="17" l="1"/>
  <c r="C293" i="17" s="1"/>
  <c r="D293" i="17" s="1"/>
  <c r="F293" i="17" s="1"/>
  <c r="E294" i="17" l="1"/>
  <c r="C294" i="17" s="1"/>
  <c r="D294" i="17" s="1"/>
  <c r="F294" i="17" s="1"/>
  <c r="E295" i="17" l="1"/>
  <c r="C295" i="17" s="1"/>
  <c r="D295" i="17" s="1"/>
  <c r="F295" i="17" s="1"/>
  <c r="E296" i="17" l="1"/>
  <c r="C296" i="17" s="1"/>
  <c r="D296" i="17" s="1"/>
  <c r="F296" i="17" s="1"/>
  <c r="E297" i="17" l="1"/>
  <c r="C297" i="17" s="1"/>
  <c r="D297" i="17" s="1"/>
  <c r="F297" i="17" s="1"/>
  <c r="E298" i="17" l="1"/>
  <c r="C298" i="17" s="1"/>
  <c r="D298" i="17" s="1"/>
  <c r="F298" i="17" s="1"/>
  <c r="E299" i="17" l="1"/>
  <c r="C299" i="17" s="1"/>
  <c r="D299" i="17" s="1"/>
  <c r="F299" i="17" s="1"/>
  <c r="E300" i="17" l="1"/>
  <c r="C300" i="17" s="1"/>
  <c r="D300" i="17" s="1"/>
  <c r="F300" i="17" s="1"/>
  <c r="E301" i="17" l="1"/>
  <c r="C301" i="17" s="1"/>
  <c r="D301" i="17" s="1"/>
  <c r="F301" i="17" s="1"/>
  <c r="E302" i="17" l="1"/>
  <c r="C302" i="17" s="1"/>
  <c r="D302" i="17" s="1"/>
  <c r="F302" i="17" s="1"/>
  <c r="E303" i="17" l="1"/>
  <c r="C303" i="17" l="1"/>
  <c r="E364" i="17"/>
  <c r="D303" i="17" l="1"/>
  <c r="F303" i="17" s="1"/>
  <c r="C364" i="17"/>
  <c r="E304" i="17" l="1"/>
  <c r="C304" i="17" s="1"/>
  <c r="D304" i="17" s="1"/>
  <c r="F304" i="17" s="1"/>
  <c r="E305" i="17" s="1"/>
  <c r="C305" i="17" s="1"/>
  <c r="D305" i="17" s="1"/>
  <c r="F305" i="17" s="1"/>
  <c r="E306" i="17" s="1"/>
  <c r="C306" i="17" s="1"/>
  <c r="D306" i="17" s="1"/>
  <c r="F306" i="17" s="1"/>
  <c r="E307" i="17" s="1"/>
  <c r="C307" i="17" s="1"/>
  <c r="D307" i="17" s="1"/>
  <c r="F307" i="17" s="1"/>
  <c r="E308" i="17" s="1"/>
  <c r="C308" i="17" s="1"/>
  <c r="D308" i="17" s="1"/>
  <c r="F308" i="17" s="1"/>
  <c r="E309" i="17" s="1"/>
  <c r="C309" i="17" s="1"/>
  <c r="D309" i="17" s="1"/>
  <c r="F309" i="17" s="1"/>
  <c r="E310" i="17" l="1"/>
  <c r="C310" i="17" s="1"/>
  <c r="D310" i="17" s="1"/>
  <c r="F310" i="17" s="1"/>
  <c r="E311" i="17" s="1"/>
  <c r="C311" i="17" s="1"/>
  <c r="D311" i="17" s="1"/>
  <c r="F311" i="17" s="1"/>
  <c r="E312" i="17" s="1"/>
  <c r="C312" i="17" s="1"/>
  <c r="D312" i="17" s="1"/>
  <c r="F312" i="17" s="1"/>
  <c r="E313" i="17" l="1"/>
  <c r="C313" i="17" s="1"/>
  <c r="D313" i="17" s="1"/>
  <c r="F313" i="17" s="1"/>
  <c r="E314" i="17" l="1"/>
  <c r="C314" i="17" s="1"/>
  <c r="D314" i="17" s="1"/>
  <c r="F314" i="17" s="1"/>
  <c r="E315" i="17" s="1"/>
  <c r="C315" i="17" s="1"/>
  <c r="D315" i="17" s="1"/>
  <c r="F315" i="17" s="1"/>
  <c r="E316" i="17" s="1"/>
  <c r="C316" i="17" s="1"/>
  <c r="D316" i="17" s="1"/>
  <c r="F316" i="17" s="1"/>
  <c r="E317" i="17" s="1"/>
  <c r="C317" i="17" s="1"/>
  <c r="D317" i="17" s="1"/>
  <c r="F317" i="17" s="1"/>
  <c r="E318" i="17" s="1"/>
  <c r="C318" i="17" s="1"/>
  <c r="D318" i="17" s="1"/>
  <c r="F318" i="17" s="1"/>
  <c r="E319" i="17" s="1"/>
  <c r="C319" i="17" s="1"/>
  <c r="D319" i="17" s="1"/>
  <c r="F319" i="17" s="1"/>
  <c r="E320" i="17" s="1"/>
  <c r="C320" i="17" s="1"/>
  <c r="D320" i="17" s="1"/>
  <c r="F320" i="17" s="1"/>
  <c r="E321" i="17" s="1"/>
  <c r="C321" i="17" s="1"/>
  <c r="D321" i="17" s="1"/>
  <c r="F321" i="17" s="1"/>
  <c r="E322" i="17" s="1"/>
  <c r="C322" i="17" s="1"/>
  <c r="D322" i="17" s="1"/>
  <c r="F322" i="17" s="1"/>
  <c r="E323" i="17" s="1"/>
  <c r="C323" i="17" s="1"/>
  <c r="D323" i="17" s="1"/>
  <c r="F323" i="17" s="1"/>
  <c r="E324" i="17" s="1"/>
  <c r="C324" i="17" s="1"/>
  <c r="D324" i="17" s="1"/>
  <c r="F324" i="17" s="1"/>
  <c r="E325" i="17" s="1"/>
  <c r="C325" i="17" s="1"/>
  <c r="D325" i="17" s="1"/>
  <c r="F325" i="17" s="1"/>
  <c r="E326" i="17" s="1"/>
  <c r="C326" i="17" s="1"/>
  <c r="D326" i="17" s="1"/>
  <c r="F326" i="17" s="1"/>
  <c r="E327" i="17" s="1"/>
  <c r="C327" i="17" s="1"/>
  <c r="D327" i="17" s="1"/>
  <c r="F327" i="17" s="1"/>
  <c r="E328" i="17" s="1"/>
  <c r="C328" i="17" s="1"/>
  <c r="D328" i="17" s="1"/>
  <c r="F328" i="17" s="1"/>
  <c r="E329" i="17" s="1"/>
  <c r="C329" i="17" s="1"/>
  <c r="D329" i="17" s="1"/>
  <c r="F329" i="17" s="1"/>
  <c r="E330" i="17" s="1"/>
  <c r="C330" i="17" s="1"/>
  <c r="D330" i="17" s="1"/>
  <c r="F330" i="17" s="1"/>
  <c r="E331" i="17" s="1"/>
  <c r="C331" i="17" s="1"/>
  <c r="D331" i="17" s="1"/>
  <c r="F331" i="17" s="1"/>
  <c r="E332" i="17" s="1"/>
  <c r="C332" i="17" s="1"/>
  <c r="D332" i="17" s="1"/>
  <c r="F332" i="17" s="1"/>
  <c r="E333" i="17" s="1"/>
  <c r="C333" i="17" s="1"/>
  <c r="D333" i="17" s="1"/>
  <c r="F333" i="17" s="1"/>
  <c r="E334" i="17" s="1"/>
  <c r="C334" i="17" s="1"/>
  <c r="D334" i="17" s="1"/>
  <c r="F334" i="17" s="1"/>
  <c r="E335" i="17" s="1"/>
  <c r="C335" i="17" s="1"/>
  <c r="D335" i="17" s="1"/>
  <c r="F335" i="17" s="1"/>
  <c r="E336" i="17" s="1"/>
  <c r="C336" i="17" s="1"/>
  <c r="D336" i="17" s="1"/>
  <c r="F336" i="17" s="1"/>
  <c r="E337" i="17" s="1"/>
  <c r="C337" i="17" s="1"/>
  <c r="D337" i="17" s="1"/>
  <c r="F337" i="17" s="1"/>
  <c r="E338" i="17" s="1"/>
  <c r="C338" i="17" s="1"/>
  <c r="D338" i="17" s="1"/>
  <c r="F338" i="17" s="1"/>
  <c r="E339" i="17" s="1"/>
  <c r="C339" i="17" s="1"/>
  <c r="D339" i="17" s="1"/>
  <c r="F339" i="17" s="1"/>
  <c r="E340" i="17" s="1"/>
  <c r="C340" i="17" s="1"/>
  <c r="D340" i="17" s="1"/>
  <c r="F340" i="17" s="1"/>
  <c r="E341" i="17" s="1"/>
  <c r="C341" i="17" s="1"/>
  <c r="D341" i="17" s="1"/>
  <c r="F341" i="17" s="1"/>
  <c r="E342" i="17" s="1"/>
  <c r="C342" i="17" s="1"/>
  <c r="D342" i="17" s="1"/>
  <c r="F342" i="17" s="1"/>
  <c r="E343" i="17" s="1"/>
  <c r="C343" i="17" s="1"/>
  <c r="D343" i="17" s="1"/>
  <c r="F343" i="17" s="1"/>
  <c r="E344" i="17" s="1"/>
  <c r="C344" i="17" s="1"/>
  <c r="D344" i="17" s="1"/>
  <c r="F344" i="17" s="1"/>
  <c r="E345" i="17" s="1"/>
  <c r="C345" i="17" s="1"/>
  <c r="D345" i="17" s="1"/>
  <c r="F345" i="17" s="1"/>
  <c r="E346" i="17" s="1"/>
  <c r="C346" i="17" s="1"/>
  <c r="D346" i="17" s="1"/>
  <c r="F346" i="17" s="1"/>
  <c r="E347" i="17" s="1"/>
  <c r="C347" i="17" s="1"/>
  <c r="D347" i="17" s="1"/>
  <c r="F347" i="17" s="1"/>
  <c r="E348" i="17" s="1"/>
  <c r="C348" i="17" s="1"/>
  <c r="D348" i="17" s="1"/>
  <c r="F348" i="17" s="1"/>
  <c r="E349" i="17" s="1"/>
  <c r="C349" i="17" s="1"/>
  <c r="D349" i="17" s="1"/>
  <c r="F349" i="17" s="1"/>
  <c r="E350" i="17" s="1"/>
  <c r="C350" i="17" s="1"/>
  <c r="D350" i="17" s="1"/>
  <c r="F350" i="17" s="1"/>
  <c r="E351" i="17" s="1"/>
  <c r="C351" i="17" s="1"/>
  <c r="D351" i="17" s="1"/>
  <c r="F351" i="17" s="1"/>
  <c r="E352" i="17" s="1"/>
  <c r="C352" i="17" s="1"/>
  <c r="D352" i="17" s="1"/>
  <c r="F352" i="17" s="1"/>
  <c r="E353" i="17" s="1"/>
  <c r="C353" i="17" s="1"/>
  <c r="D353" i="17" s="1"/>
  <c r="F353" i="17" s="1"/>
  <c r="E354" i="17" s="1"/>
  <c r="C354" i="17" s="1"/>
  <c r="D354" i="17" s="1"/>
  <c r="F354" i="17" s="1"/>
  <c r="E355" i="17" s="1"/>
  <c r="C355" i="17" s="1"/>
  <c r="D355" i="17" s="1"/>
  <c r="F355" i="17" s="1"/>
  <c r="E356" i="17" s="1"/>
  <c r="C356" i="17" s="1"/>
  <c r="D356" i="17" s="1"/>
  <c r="F356" i="17" s="1"/>
  <c r="E357" i="17" l="1"/>
  <c r="C357" i="17" s="1"/>
  <c r="D357" i="17" s="1"/>
  <c r="F357" i="17" s="1"/>
  <c r="E358" i="17" s="1"/>
  <c r="C358" i="17" s="1"/>
  <c r="D358" i="17" s="1"/>
  <c r="F358" i="17" s="1"/>
  <c r="E359" i="17" l="1"/>
  <c r="C359" i="17" s="1"/>
  <c r="D359" i="17" s="1"/>
  <c r="F359" i="17" s="1"/>
  <c r="E360" i="17" s="1"/>
  <c r="C360" i="17" s="1"/>
  <c r="D360" i="17" s="1"/>
  <c r="F360" i="17" s="1"/>
  <c r="E361" i="17" s="1"/>
  <c r="C361" i="17" s="1"/>
  <c r="D361" i="17" s="1"/>
  <c r="F361" i="17" s="1"/>
  <c r="E362" i="17" s="1"/>
  <c r="C362" i="17" s="1"/>
  <c r="D362" i="17" s="1"/>
  <c r="F362" i="17" s="1"/>
  <c r="E363" i="17" l="1"/>
  <c r="C363" i="17" s="1"/>
  <c r="D363" i="17" s="1"/>
  <c r="F363" i="17" s="1"/>
  <c r="I7" i="17" s="1"/>
  <c r="I8" i="17" s="1"/>
</calcChain>
</file>

<file path=xl/sharedStrings.xml><?xml version="1.0" encoding="utf-8"?>
<sst xmlns="http://schemas.openxmlformats.org/spreadsheetml/2006/main" count="527" uniqueCount="327">
  <si>
    <t>Introduction</t>
  </si>
  <si>
    <t>1</t>
  </si>
  <si>
    <t>2</t>
  </si>
  <si>
    <t>Other</t>
  </si>
  <si>
    <t>No</t>
  </si>
  <si>
    <t>Debt Calculator</t>
  </si>
  <si>
    <t>Credit tips</t>
  </si>
  <si>
    <t>Type of Credit</t>
  </si>
  <si>
    <t>Utilization</t>
  </si>
  <si>
    <t>PLoC</t>
  </si>
  <si>
    <t>VISA</t>
  </si>
  <si>
    <t>Master Card</t>
  </si>
  <si>
    <t>American Express</t>
  </si>
  <si>
    <t>Department Store</t>
  </si>
  <si>
    <t>Car Loan</t>
  </si>
  <si>
    <t>Student Loan</t>
  </si>
  <si>
    <t>Interest Rate:</t>
  </si>
  <si>
    <t>Amortization</t>
  </si>
  <si>
    <t>Amortization:</t>
  </si>
  <si>
    <t>Second Mortgage:</t>
  </si>
  <si>
    <t>Calvert Home Mortgage</t>
  </si>
  <si>
    <t>Credit Tips</t>
  </si>
  <si>
    <t>2.0</t>
  </si>
  <si>
    <t>This spreadsheet is designed to assist individuals in understanding their debts and helping them to better understand the cost of credit and how to lower monthly payments and improve their credit scores.</t>
  </si>
  <si>
    <t>The first step is to list all of your credit cards, lines of credit, car loans, including your interest rates and monthly payments .</t>
  </si>
  <si>
    <t>Interest</t>
  </si>
  <si>
    <t>Monthly Periodic Rate</t>
  </si>
  <si>
    <t>Why is your credit score important?</t>
  </si>
  <si>
    <t>Your credit score is one tool that lenders use to determine if they will lend you money and at what rate and on what terms. The better your rating the more money you can save.</t>
  </si>
  <si>
    <t>How do I find out what my credit score is?</t>
  </si>
  <si>
    <t>There are two main credit reporting agencies in Canada, TransUnion Canada and Equifax.</t>
  </si>
  <si>
    <t>Pay your bills on time</t>
  </si>
  <si>
    <t>Try to not have too many inquiries on your credit at a time.</t>
  </si>
  <si>
    <t>The lower your score the less access to capital you will have.</t>
  </si>
  <si>
    <t>It can take months and years to fix credit problems.</t>
  </si>
  <si>
    <t>Defaulting on a loan will negatively impact your credit.</t>
  </si>
  <si>
    <t>The type of credit you have or are looking for will impact your score. What type of loans do you have?</t>
  </si>
  <si>
    <t>How do I fix bad credit?</t>
  </si>
  <si>
    <t>Identify the things on your credit report that are having a negative impact on your score.</t>
  </si>
  <si>
    <t>Pay your bills on time.</t>
  </si>
  <si>
    <t>Set up notifications in your calendar to remind you when you have to pay certain bills.</t>
  </si>
  <si>
    <t>Call your creditors and ask them to remove old late or missed payments from your credit report.</t>
  </si>
  <si>
    <t>If you have cards you no longer use cancel them, but if you have had the account for a long time the history might be helping your credit score.</t>
  </si>
  <si>
    <t>The higher utilization of your credit balances the harder it is on your credit score.</t>
  </si>
  <si>
    <t>Definitely do no exceed the credit limit amount, even if you are paying it off each month.</t>
  </si>
  <si>
    <t>If you have high balances stay focused on paying down your debts.</t>
  </si>
  <si>
    <t>Make sure you settle any accounts that are in dispute, don't let a small balances wreck your credit.</t>
  </si>
  <si>
    <t>Think twice about getting a new credit card.</t>
  </si>
  <si>
    <t>Take your time and make sure you get a credit card that works right for you both short term and long term.</t>
  </si>
  <si>
    <t>Some financial institutions see departments store cards less favorably than a VISA or MasterCard.</t>
  </si>
  <si>
    <t>Joint cards between both husband and wife, sometimes the credit card firm will only report on one of the card holders, not helping to build the credit of the other partner.</t>
  </si>
  <si>
    <t>Always have some extra cash in reserve to cover your monthly payments.</t>
  </si>
  <si>
    <t>If there is a collection or a bankruptcy, they stay on your record for seven years.</t>
  </si>
  <si>
    <t>When the seven years is up it is up to you to get it removed!!</t>
  </si>
  <si>
    <t>Controlling your debt is not an easy thing to do, if you can't control the spending then cash maybe a better way to go.</t>
  </si>
  <si>
    <t>Tips on Credit Cards</t>
  </si>
  <si>
    <t>Make sure you read the contract and understand the terms and conditions.</t>
  </si>
  <si>
    <t>Too much credit will damage your credit rating score.</t>
  </si>
  <si>
    <t>Every month carefully go through your credit card statement.</t>
  </si>
  <si>
    <t>Comparing Credit Cards</t>
  </si>
  <si>
    <t>Make sure you include the annual fee in the cost of borrowing.</t>
  </si>
  <si>
    <t>Larger balances will have a greater value of going to a lower rate card.</t>
  </si>
  <si>
    <t>Take the time to read the application and/or agreement carefully to understand the terms of the contract</t>
  </si>
  <si>
    <t>Are there different rates for different transactions?</t>
  </si>
  <si>
    <t>Can you transfer balances?</t>
  </si>
  <si>
    <t>How long do the low rates apply?</t>
  </si>
  <si>
    <t>What will the interest rate be at the end of the introduction rate?</t>
  </si>
  <si>
    <t>Look to see if fees or interest rates change if you miss a payment.</t>
  </si>
  <si>
    <t>Understand the minimum balance amounts and what making that minimum payment means to how long it will take to pay off your debts.</t>
  </si>
  <si>
    <t>If you carry a balance on your credit card you may not be getting value for your rewards.</t>
  </si>
  <si>
    <t>Interest Rates on credit cards</t>
  </si>
  <si>
    <t xml:space="preserve">If you pay the full balance each month and don’t perform any cash advances you will not have to pay any interest </t>
  </si>
  <si>
    <t>If you carry a balance past the payment date and/or you take cash advances on your credit card then interest charges will apply</t>
  </si>
  <si>
    <t>You can always call a credit card company and negotiate a better rate or term.</t>
  </si>
  <si>
    <t>BE aware of low introductory interest rates on new cards.</t>
  </si>
  <si>
    <t>CHARACTER: is the client willing and do they have a history of repaying loans on time?</t>
  </si>
  <si>
    <t>COLLATERAL: what amount is the equity portion of the financing i.e. the down payment?</t>
  </si>
  <si>
    <t>CAPITAL: what kind of reserve fund savings (or other credit lines) does the client have that can be used if necessary as a safety valve?
be used if necessary as a safety valve?</t>
  </si>
  <si>
    <t>CREDIT: what’s the accumulated experience of the client’s habits in repaying credit?</t>
  </si>
  <si>
    <t>Tips on dealing with Debt Collectors</t>
  </si>
  <si>
    <t>A Debt Collector can be the credit card company itself, or they may contract the collection of the debt to a third party.</t>
  </si>
  <si>
    <t>Being in collection will have a negative impact on your credit, try to pay it off as soon as possible. Make arrangements with the credit card company or the Debt collector.</t>
  </si>
  <si>
    <t>When repaying debts make sure you do not pay cash and you get receipts and confirmation of payments.</t>
  </si>
  <si>
    <t>If you believe there is an error gather the information you have on the debt and make arrangements to correct as soon as possible. Doing nothing hurts you more than the credit company.</t>
  </si>
  <si>
    <t>Debt collectors are not allowed to contact friends, employer, relatives, neighbours for any information (other than phone number and address).</t>
  </si>
  <si>
    <t>Debt collectors are not allowed to use threatening, intimidating or abusive language, contact you on holidays, before 7 am and after 9 pm.</t>
  </si>
  <si>
    <t>Credit Counselling can assist you on making budgets and sticking to them.</t>
  </si>
  <si>
    <t>Credit Counselling can assist you how to use credit wisely.</t>
  </si>
  <si>
    <t>It is important to know that not all debts are covered in these programs, including secured debts like mortgages and vehicle loans.</t>
  </si>
  <si>
    <t>While you are working on a debt management plan you will not have access to any credit.</t>
  </si>
  <si>
    <t>This arrangement will show your credit reports for 2 to 3 years after completion.</t>
  </si>
  <si>
    <t>Make sure you select a reputable and qualified credit counsellor.</t>
  </si>
  <si>
    <t>Make sure you know the cost of the service and how the fees are charged.</t>
  </si>
  <si>
    <t>Making a budget</t>
  </si>
  <si>
    <t>A budget is a written document that assists you in managing your income and expenses.</t>
  </si>
  <si>
    <t>A budget will help you better understand where you are spending money, where you can save money, reduce expenses, and help you pay off debts faster.</t>
  </si>
  <si>
    <t>Track your income and expenses. Collect pay stubs, receipts, bank statements, credit card statements, any other debts or investments you may have.</t>
  </si>
  <si>
    <t>List out all the monthly income amounts and all the expenses that you have on a monthly basis.</t>
  </si>
  <si>
    <t>Track it for a month recording where every dollar has gone. Did you miss anything?</t>
  </si>
  <si>
    <t>It is important to consider what your financial goals are and how you are going to achieve them by mapping it out in your budget.</t>
  </si>
  <si>
    <t>Adjust your expenses to ensure that you are saving something each month. Ideally you should be saving a minimum of 10% of your gross income.</t>
  </si>
  <si>
    <t>Keep track every month and record what you budgeted, what you actually spent and continue to make revisions so improve you budget.</t>
  </si>
  <si>
    <t>How to pay down debts</t>
  </si>
  <si>
    <t>Have a good budget.</t>
  </si>
  <si>
    <t>Learn to stick to the budget</t>
  </si>
  <si>
    <t>Make sure you have the right priorities. Put your needs before your wants.</t>
  </si>
  <si>
    <t xml:space="preserve">Watch what you are spending in banking fees. </t>
  </si>
  <si>
    <t>Buying a home</t>
  </si>
  <si>
    <t>There are lots of costs associated with buying a home and it is important understand those costs prior to getting into a home.</t>
  </si>
  <si>
    <t>There are one time expenses which include: down payment, legal fees, deposits, real estate fees, closing costs, land transfer taxes, home inspection, appraisals, insurance premiums, moving….</t>
  </si>
  <si>
    <t>Resources</t>
  </si>
  <si>
    <t>http://www.fcac-acfc.gc.ca/Eng/forConsumers/topics/creditCards/Pages/home-accueil.aspx</t>
  </si>
  <si>
    <t>Gather all of your credit card statements, lines of credits, car loans, departments store loans and any other peronal debts you have.</t>
  </si>
  <si>
    <t>There are four options that can be used to consolidate debt including:</t>
  </si>
  <si>
    <t>New first mortgage on your personal residence;</t>
  </si>
  <si>
    <t>New second mortgage on your personal residence</t>
  </si>
  <si>
    <t>New line of credit (either secured on unsecured);</t>
  </si>
  <si>
    <t>New lower rate credit card.</t>
  </si>
  <si>
    <t>In each of the options there is a summary of the saving each option will provide in monthly payment and the blended interest rate for each option.</t>
  </si>
  <si>
    <t>CRA</t>
  </si>
  <si>
    <t>Open</t>
  </si>
  <si>
    <t>Arrears R2</t>
  </si>
  <si>
    <t>Arrears R1</t>
  </si>
  <si>
    <t>Closed</t>
  </si>
  <si>
    <t>Arrears R4</t>
  </si>
  <si>
    <t>Current</t>
  </si>
  <si>
    <t>Monthly Payment Savings</t>
  </si>
  <si>
    <t>To Do's</t>
  </si>
  <si>
    <t>Reasoning</t>
  </si>
  <si>
    <t>-</t>
  </si>
  <si>
    <t>Pay-Out</t>
  </si>
  <si>
    <t>Recommendation</t>
  </si>
  <si>
    <t>Unsecured Debt Paid</t>
  </si>
  <si>
    <t>New Mortgage and Unsecured Debt Payments</t>
  </si>
  <si>
    <r>
      <t>You can order a free report on yourself from either of these agencies. (</t>
    </r>
    <r>
      <rPr>
        <sz val="11"/>
        <color rgb="FF7030A0"/>
        <rFont val="Calibri"/>
        <family val="2"/>
        <scheme val="minor"/>
      </rPr>
      <t>http://www.equifax.com/ecm/canada/EFXCreditReportRequestForm.pdf</t>
    </r>
    <r>
      <rPr>
        <sz val="11"/>
        <color theme="1"/>
        <rFont val="Calibri"/>
        <family val="2"/>
        <scheme val="minor"/>
      </rPr>
      <t>) or (</t>
    </r>
    <r>
      <rPr>
        <sz val="11"/>
        <color rgb="FF7030A0"/>
        <rFont val="Calibri"/>
        <family val="2"/>
        <scheme val="minor"/>
      </rPr>
      <t>http://www.transunion.ca/docs/personal/Consumer_Disclosure_Request_Form_en.pdf</t>
    </r>
    <r>
      <rPr>
        <sz val="11"/>
        <color theme="1"/>
        <rFont val="Calibri"/>
        <family val="2"/>
        <scheme val="minor"/>
      </rPr>
      <t>) or you can print a copy from the tabs provided at the bottom of this page.</t>
    </r>
  </si>
  <si>
    <t>Checking your credit score can also detect any identity theft and fraud.  If you confirm either of these has occurred report them to the local Police Service immediately.</t>
  </si>
  <si>
    <t>Avoid bankruptcies and foreclosures at all cost. It automatically drops your credit score and will remain on your credit report for 7 years from the completion date.</t>
  </si>
  <si>
    <t>CAPACITY: your ability to generate enough cash-flow to meet all loan and credit payments.</t>
  </si>
  <si>
    <t>Click on the Monthly Budget tab at the bottom of this page to see what your current monthly budget looks like.</t>
  </si>
  <si>
    <t>Factors that affect your credit scores:</t>
  </si>
  <si>
    <t>Credit scores are important because they are used to assist the lender when deciding on giving you a loan and how much interest they will charge. Credit scores can change over time depending on how well you manage your financial obligation, how your credit history, and payment patterns change.</t>
  </si>
  <si>
    <t xml:space="preserve">The first thing you can do to build good credit is to open a credit card if you don’t have one. If you can’t qualify for a regular credit card, you can apply for a secured credit card where the issuing bank gives you a credit limit based on your current savings with them. </t>
  </si>
  <si>
    <t>Don’t close old credit cards, losing that history will shorten your average credit age and cause your credit score to drop. The length of time you’ve had credit established with each creditor is important, even if the account is inactive or not used.</t>
  </si>
  <si>
    <t>3</t>
  </si>
  <si>
    <t>Monthly Budget</t>
  </si>
  <si>
    <t>This section is important for you to fill out completely and accurately.  Knowing where you are right now is an important first step debt controla nd maintaing good credit.</t>
  </si>
  <si>
    <t>4</t>
  </si>
  <si>
    <t>Credit Request</t>
  </si>
  <si>
    <t>You can print, complete and send each of the credit request forms included here from Equifax and TransUnion.</t>
  </si>
  <si>
    <t>What can I do to improve my credit worthiness?</t>
  </si>
  <si>
    <t>Review your credit each year by submitting a credit Request form for Equifax and TransUnion.</t>
  </si>
  <si>
    <t>Pay all of your bills on time. Paying late, or having your account sent to a collection agency has a negative impact on your credit score.</t>
  </si>
  <si>
    <t>MANAGING DEBT</t>
  </si>
  <si>
    <t>How do I make sure I have a good credit score?</t>
  </si>
  <si>
    <t>Keep your balances low and never use more than 75% of the limits.</t>
  </si>
  <si>
    <t>Don't let a $200 cell phone bill dispute cause you to lose thousands of dollars on your next mortgage. Keep your credit clean. Pay it, then dispute to avoid collections.</t>
  </si>
  <si>
    <t>Your payment history will impact your score. Did you make your payments on time? Did you miss payments?</t>
  </si>
  <si>
    <t>Your Credit management will impact your score. Have you been bankrupt, have you had a collection, have you been in a credit repayment plan?</t>
  </si>
  <si>
    <t>Your current debts will impact your score. What is the total availability to debt? What are your limits and how much of it are you using? Are you maxed out or almost maxed out?</t>
  </si>
  <si>
    <t>How old your credit history is will impact your score. If you only have a short amount of history, there is not enough information so you will have a lower score.</t>
  </si>
  <si>
    <t>Try to use less than 25% of your limit.</t>
  </si>
  <si>
    <t>Going through divorce, be very careful and watchful of your credit and how things are managed so you don’t end up in a bad credit position.</t>
  </si>
  <si>
    <t>If possible try to get multiple types of credit rather than just one.  Having one installment loan and one revolving credit account is better than two revolving credit accounts.</t>
  </si>
  <si>
    <t>Managing Debt: The strategies below are used by many, however, you must understand that these will have a negative impact on your credit!</t>
  </si>
  <si>
    <t>Do not have credit card account balances up to your credit limit. Keeping your account balances below 75% of your available credit will also help your score.</t>
  </si>
  <si>
    <t>Debt Consolidation Tool Kit Instructions</t>
  </si>
  <si>
    <t>Calvert Home Mortgage Investment Corporation</t>
  </si>
  <si>
    <t>Debt Consolidation Tool Kit</t>
  </si>
  <si>
    <t>5</t>
  </si>
  <si>
    <t>6</t>
  </si>
  <si>
    <t>Institution</t>
  </si>
  <si>
    <t>LIST OF DEBTS</t>
  </si>
  <si>
    <t>Interest
Rate</t>
  </si>
  <si>
    <t>Balance
Owing</t>
  </si>
  <si>
    <t>Credit
Limit</t>
  </si>
  <si>
    <t>Monthly
Payment</t>
  </si>
  <si>
    <t>Available
Credit</t>
  </si>
  <si>
    <t>Credit
Status</t>
  </si>
  <si>
    <t>Payment
Status</t>
  </si>
  <si>
    <t>Type of
Credit</t>
  </si>
  <si>
    <t>EXISTING FINANCING ON RESIDENCE</t>
  </si>
  <si>
    <t>Property Value:</t>
  </si>
  <si>
    <t>As of:</t>
  </si>
  <si>
    <t>Mortgage Balance:</t>
  </si>
  <si>
    <t>Payments (per month):</t>
  </si>
  <si>
    <t>Expiry:</t>
  </si>
  <si>
    <t>TIPPs Include?</t>
  </si>
  <si>
    <t>B</t>
  </si>
  <si>
    <t>FIRST MORTGAGE</t>
  </si>
  <si>
    <t>SECOND MORTGAGE</t>
  </si>
  <si>
    <t>C</t>
  </si>
  <si>
    <t>A</t>
  </si>
  <si>
    <t>Mortgagee:</t>
  </si>
  <si>
    <t>Blended Interest Rate:</t>
  </si>
  <si>
    <t>Loan To Value (LTV):</t>
  </si>
  <si>
    <t>Unsecured Debts:</t>
  </si>
  <si>
    <t>Unsecured Debt:</t>
  </si>
  <si>
    <t>Unsecured Blended:</t>
  </si>
  <si>
    <t>Debt Balance:</t>
  </si>
  <si>
    <t>Debt Payments:</t>
  </si>
  <si>
    <t>Gross Debt Service (GDS):</t>
  </si>
  <si>
    <t>Total Debt Service (TDS):</t>
  </si>
  <si>
    <t>Debt Blended Rate:</t>
  </si>
  <si>
    <t>Property Taxes:</t>
  </si>
  <si>
    <t>Utility Expenses:</t>
  </si>
  <si>
    <t>Condo Fees</t>
  </si>
  <si>
    <t>Total Expenses:</t>
  </si>
  <si>
    <t>Annual Income #1:</t>
  </si>
  <si>
    <t>Annual Income #2:</t>
  </si>
  <si>
    <t>Annual Income Other:</t>
  </si>
  <si>
    <t>Total Income:</t>
  </si>
  <si>
    <t>Prepayment:</t>
  </si>
  <si>
    <t>Total:</t>
  </si>
  <si>
    <t>New Interest Rate:</t>
  </si>
  <si>
    <t>Monthly Payment:</t>
  </si>
  <si>
    <t>Total Monthly Payments:</t>
  </si>
  <si>
    <t>Total Blended Rate:</t>
  </si>
  <si>
    <t>Total Interest Cost:</t>
  </si>
  <si>
    <t>NEW SECOND MORTGAGE</t>
  </si>
  <si>
    <t>NEW LINE OF CREDIT</t>
  </si>
  <si>
    <t>NEW LOW RATE CREDIT CARD</t>
  </si>
  <si>
    <t>Consolidate all unsecured debt to a
Low Rate Credit Card</t>
  </si>
  <si>
    <t>Consolidate all unsecured debt to a
Line of Credit</t>
  </si>
  <si>
    <t>FINANCING OPTIONS</t>
  </si>
  <si>
    <r>
      <t xml:space="preserve">New </t>
    </r>
    <r>
      <rPr>
        <b/>
        <sz val="11"/>
        <color theme="1"/>
        <rFont val="Calibri"/>
        <family val="2"/>
        <scheme val="minor"/>
      </rPr>
      <t>Line of Credit</t>
    </r>
    <r>
      <rPr>
        <sz val="11"/>
        <color theme="1"/>
        <rFont val="Calibri"/>
        <family val="2"/>
        <scheme val="minor"/>
      </rPr>
      <t>:</t>
    </r>
  </si>
  <si>
    <r>
      <t xml:space="preserve">New </t>
    </r>
    <r>
      <rPr>
        <b/>
        <sz val="11"/>
        <color theme="1"/>
        <rFont val="Calibri"/>
        <family val="2"/>
        <scheme val="minor"/>
      </rPr>
      <t>Low Rate C/C</t>
    </r>
    <r>
      <rPr>
        <sz val="11"/>
        <color theme="1"/>
        <rFont val="Calibri"/>
        <family val="2"/>
        <scheme val="minor"/>
      </rPr>
      <t>:</t>
    </r>
  </si>
  <si>
    <t>NEW FIRST MORTGAGE</t>
  </si>
  <si>
    <t>RECOMMENDATIONS</t>
  </si>
  <si>
    <t>D</t>
  </si>
  <si>
    <t>The First Step To Recovery</t>
  </si>
  <si>
    <t>payout and close</t>
  </si>
  <si>
    <t>Payout</t>
  </si>
  <si>
    <t>Prepayment Terms</t>
  </si>
  <si>
    <t>Mortgage Term:</t>
  </si>
  <si>
    <t>Mortgage Term</t>
  </si>
  <si>
    <t>Prepayment Penalty:</t>
  </si>
  <si>
    <t>AS OF:</t>
  </si>
  <si>
    <t>payout and remain open</t>
  </si>
  <si>
    <t>partial payment and remain open</t>
  </si>
  <si>
    <t>payout and discharge encumbrance on title</t>
  </si>
  <si>
    <t>Total Current Monthly Credit Payments Reduced by this amount and unsecured debt reduced by this amount:</t>
  </si>
  <si>
    <t>•</t>
  </si>
  <si>
    <t>IMPROVE YOUR CREDIT: QUICK TIPS</t>
  </si>
  <si>
    <t>1st</t>
  </si>
  <si>
    <t>Make all minimum monthly payments on time to your remaining creditors.</t>
  </si>
  <si>
    <t>2nd</t>
  </si>
  <si>
    <t>New Total Debt Balance:</t>
  </si>
  <si>
    <t>New Total Debt Payments:</t>
  </si>
  <si>
    <t>Arrears</t>
  </si>
  <si>
    <t>Arrears R3</t>
  </si>
  <si>
    <t>Arrears R5</t>
  </si>
  <si>
    <t>Arrears R6</t>
  </si>
  <si>
    <t>Arrears R7</t>
  </si>
  <si>
    <t>Arrears R8</t>
  </si>
  <si>
    <t>Arrears R9</t>
  </si>
  <si>
    <t>Investment Corporation</t>
  </si>
  <si>
    <t>CHMIC Version 2.0</t>
  </si>
  <si>
    <t>For more information about Calvert Home Mortgage Investment Corporation please visit our web site.</t>
  </si>
  <si>
    <t>www.chmic.ca</t>
  </si>
  <si>
    <t>© 2015 Calvert Home Mortgage Investment Corporation. All rights reserved.</t>
  </si>
  <si>
    <t>Debt Consolidation Tool</t>
  </si>
  <si>
    <t>For Mortgage Brokers</t>
  </si>
  <si>
    <t>Total Unsecured Debts</t>
  </si>
  <si>
    <t>Current First Mortgage:</t>
  </si>
  <si>
    <t>Current Second Mortgage:</t>
  </si>
  <si>
    <t xml:space="preserve"> Prepayment Penalty:</t>
  </si>
  <si>
    <t>Total Unsecured Debt:</t>
  </si>
  <si>
    <t>First and Second Mortgage Balance</t>
  </si>
  <si>
    <t>Blended Mortgage Interest Rate:</t>
  </si>
  <si>
    <t>Remaining Unsecured Debts:</t>
  </si>
  <si>
    <t>Unsecured Debt Monthly Payment</t>
  </si>
  <si>
    <r>
      <t xml:space="preserve">New </t>
    </r>
    <r>
      <rPr>
        <b/>
        <sz val="11"/>
        <color rgb="FFFF0000"/>
        <rFont val="Calibri"/>
        <family val="2"/>
        <scheme val="minor"/>
      </rPr>
      <t>Second Mortgage</t>
    </r>
    <r>
      <rPr>
        <sz val="11"/>
        <color rgb="FFFF0000"/>
        <rFont val="Calibri"/>
        <family val="2"/>
        <scheme val="minor"/>
      </rPr>
      <t>:</t>
    </r>
  </si>
  <si>
    <t>You should check your credit score at least once a year. Make sure the information and credit reporting represent what is actually happening in your life. If there are discrepancies or mistakes contact Equifax and TransUnion as soon as possible.  You will also have to contact the company reporting the credit.</t>
  </si>
  <si>
    <t>The number of inquiries on your credit report will have a small impact your credit score. There is less impact if you are shopping for credit on the same item at approximately the same time (i.e.. Different car dealerships to buy a car, different banks for a mortgage.)  If you shop for many different types of credit throughout the year this will have a negative impact.</t>
  </si>
  <si>
    <t>To re-establish your credit it can take an additional two years of good behavior.</t>
  </si>
  <si>
    <t>After bankruptcy or collections you need to take action to re-establish your credit.  Some lenders will require 2 years of two types of credit of at least $2,500.</t>
  </si>
  <si>
    <t>How do Lenders make lending decisions?</t>
  </si>
  <si>
    <t>Credit Counselling will also  assist you in repairing your credit score.</t>
  </si>
  <si>
    <t>Credit Counsellors will work directly with everyone you have debts with and develop a plan for you to follow.</t>
  </si>
  <si>
    <t>In some cases your creditors will reduce or eliminate the interest rates and or penalties on your debts to assist in correcting the debts.</t>
  </si>
  <si>
    <t>By using information you have collected in the past you can start to build a picture of how you want to spend your money in the future.</t>
  </si>
  <si>
    <t>Avoid using debt to fix your cash flow problems. Buy when you have the money, not buy now pay later.</t>
  </si>
  <si>
    <t>Find ways to reduce small expenses. Just by taking out a coffee a day out of the your spending can save you hundreds a year.</t>
  </si>
  <si>
    <t>Talk to professionals about how to manage debt payments or to consolidate debts.</t>
  </si>
  <si>
    <t>There are on going expenses which include: mortgage payments, property taxes, utilities, insurance, telephone, internet, condo fees, maintenance costs….</t>
  </si>
  <si>
    <t>In part 1 'List of Debts' write down all relevant information related to each type of debt you have.</t>
  </si>
  <si>
    <t>Enter the estimated value of your property and the debts currently on your property.</t>
  </si>
  <si>
    <t>CRA Debt</t>
  </si>
  <si>
    <t>IRD</t>
  </si>
  <si>
    <t>Renewal Fee:</t>
  </si>
  <si>
    <t>This section is designed to provide you with good tips in managing your credit and debts.</t>
  </si>
  <si>
    <r>
      <rPr>
        <b/>
        <sz val="11"/>
        <color theme="1"/>
        <rFont val="Calibri"/>
        <family val="2"/>
        <scheme val="minor"/>
      </rPr>
      <t xml:space="preserve">a) </t>
    </r>
    <r>
      <rPr>
        <sz val="11"/>
        <color theme="1"/>
        <rFont val="Calibri"/>
        <family val="2"/>
        <scheme val="minor"/>
      </rPr>
      <t>Number of credit accounts</t>
    </r>
  </si>
  <si>
    <r>
      <rPr>
        <b/>
        <sz val="11"/>
        <color theme="1"/>
        <rFont val="Calibri"/>
        <family val="2"/>
        <scheme val="minor"/>
      </rPr>
      <t>b)</t>
    </r>
    <r>
      <rPr>
        <sz val="11"/>
        <color theme="1"/>
        <rFont val="Calibri"/>
        <family val="2"/>
        <scheme val="minor"/>
      </rPr>
      <t xml:space="preserve"> Age of credit accounts</t>
    </r>
  </si>
  <si>
    <r>
      <rPr>
        <b/>
        <sz val="11"/>
        <color theme="1"/>
        <rFont val="Calibri"/>
        <family val="2"/>
        <scheme val="minor"/>
      </rPr>
      <t>c)</t>
    </r>
    <r>
      <rPr>
        <sz val="11"/>
        <color theme="1"/>
        <rFont val="Calibri"/>
        <family val="2"/>
        <scheme val="minor"/>
      </rPr>
      <t xml:space="preserve"> Amount owed on all credit accounts</t>
    </r>
  </si>
  <si>
    <r>
      <rPr>
        <b/>
        <sz val="11"/>
        <color theme="1"/>
        <rFont val="Calibri"/>
        <family val="2"/>
        <scheme val="minor"/>
      </rPr>
      <t>d)</t>
    </r>
    <r>
      <rPr>
        <sz val="11"/>
        <color theme="1"/>
        <rFont val="Calibri"/>
        <family val="2"/>
        <scheme val="minor"/>
      </rPr>
      <t> Total available credit limit</t>
    </r>
  </si>
  <si>
    <r>
      <rPr>
        <b/>
        <sz val="11"/>
        <color theme="1"/>
        <rFont val="Calibri"/>
        <family val="2"/>
        <scheme val="minor"/>
      </rPr>
      <t xml:space="preserve">e) </t>
    </r>
    <r>
      <rPr>
        <sz val="11"/>
        <color theme="1"/>
        <rFont val="Calibri"/>
        <family val="2"/>
        <scheme val="minor"/>
      </rPr>
      <t>Ratio of credit balances vs. total available credit limit.</t>
    </r>
  </si>
  <si>
    <r>
      <rPr>
        <b/>
        <sz val="11"/>
        <color theme="1"/>
        <rFont val="Calibri"/>
        <family val="2"/>
        <scheme val="minor"/>
      </rPr>
      <t xml:space="preserve">f) </t>
    </r>
    <r>
      <rPr>
        <sz val="11"/>
        <color theme="1"/>
        <rFont val="Calibri"/>
        <family val="2"/>
        <scheme val="minor"/>
      </rPr>
      <t>Number of credit debts opened in the last 12 months.</t>
    </r>
  </si>
  <si>
    <r>
      <rPr>
        <b/>
        <sz val="11"/>
        <color theme="1"/>
        <rFont val="Calibri"/>
        <family val="2"/>
        <scheme val="minor"/>
      </rPr>
      <t>g)</t>
    </r>
    <r>
      <rPr>
        <sz val="11"/>
        <color theme="1"/>
        <rFont val="Calibri"/>
        <family val="2"/>
        <scheme val="minor"/>
      </rPr>
      <t xml:space="preserve"> Total debts</t>
    </r>
  </si>
  <si>
    <r>
      <rPr>
        <b/>
        <sz val="11"/>
        <color theme="1"/>
        <rFont val="Calibri"/>
        <family val="2"/>
        <scheme val="minor"/>
      </rPr>
      <t>h)</t>
    </r>
    <r>
      <rPr>
        <sz val="11"/>
        <color theme="1"/>
        <rFont val="Calibri"/>
        <family val="2"/>
        <scheme val="minor"/>
      </rPr>
      <t xml:space="preserve"> Promptness in paying bill.</t>
    </r>
  </si>
  <si>
    <r>
      <rPr>
        <b/>
        <sz val="11"/>
        <color theme="1"/>
        <rFont val="Calibri"/>
        <family val="2"/>
        <scheme val="minor"/>
      </rPr>
      <t>i)</t>
    </r>
    <r>
      <rPr>
        <sz val="11"/>
        <color theme="1"/>
        <rFont val="Calibri"/>
        <family val="2"/>
        <scheme val="minor"/>
      </rPr>
      <t xml:space="preserve"> Negative factors such as collection accounts, bankruptcies, loan defaults, foreclosures, derogatory public records, consumer proposals.</t>
    </r>
  </si>
  <si>
    <t>There are 5 C's of credit that are used as the basic lending parameters: 1. Character 2. Capacity 3. Collateral 4. Capital 5. Credit</t>
  </si>
  <si>
    <t>Best way to manage your debts is by creating and following a monthly budget.</t>
  </si>
  <si>
    <t>Month</t>
  </si>
  <si>
    <t>Payment</t>
  </si>
  <si>
    <t>Principal</t>
  </si>
  <si>
    <t>Balance</t>
  </si>
  <si>
    <t>Principal Mortgage Amount</t>
  </si>
  <si>
    <t>Monthly Payment</t>
  </si>
  <si>
    <t>Annual Interest Rate</t>
  </si>
  <si>
    <t>Amortization Table</t>
  </si>
  <si>
    <t>Total Months</t>
  </si>
  <si>
    <t>(In years)</t>
  </si>
  <si>
    <t>Sears Chase</t>
  </si>
  <si>
    <t>RBC Visa</t>
  </si>
  <si>
    <t>BMO</t>
  </si>
  <si>
    <t>Canadian Tire Bank</t>
  </si>
  <si>
    <t>Capital One HBC</t>
  </si>
  <si>
    <t>CIBC</t>
  </si>
  <si>
    <t>ATB</t>
  </si>
  <si>
    <t>Saved Monthly Payment:</t>
  </si>
  <si>
    <t>It takes time and there is no quick fix for eliminating past aspects of your credit history that may be negatively affecting your credit score.  Here are some illustrations of the examples of credit worthy behavior:</t>
  </si>
  <si>
    <t xml:space="preserve">Total New Mortgage Fees:   </t>
  </si>
  <si>
    <r>
      <t xml:space="preserve">New </t>
    </r>
    <r>
      <rPr>
        <b/>
        <sz val="11"/>
        <color theme="0" tint="-0.499984740745262"/>
        <rFont val="Calibri"/>
        <family val="2"/>
        <scheme val="minor"/>
      </rPr>
      <t>First Mortgage</t>
    </r>
    <r>
      <rPr>
        <sz val="11"/>
        <color theme="0" tint="-0.499984740745262"/>
        <rFont val="Calibri"/>
        <family val="2"/>
        <scheme val="minor"/>
      </rPr>
      <t>:</t>
    </r>
  </si>
  <si>
    <t>Do not apply for credit unless you have a genuine need for a new account. Too many credit inquiries in a short period of time can sometimes be interpreted as a sign that you are opening numerous credit accounts due to financial difficulties, or overextending yourself by taking on more debt than you can afford. A flurry of inquiries will prompt most lenders to ask you why. However, most scoring formulas will not penalize you if, for example, you are shopping for the best mortgage rate or the best car loan.</t>
  </si>
  <si>
    <t xml:space="preserve">When people accumulate too much debt it can quickly become very overwhelming with no end in sight.   Once you recognize you have a problem and commit to fixing it you can then manage it.  If your first step was consolidate some of your debts then the next step is to pay off your consolidation loan and to pay down and pay off what remains on other credit accounts.   </t>
  </si>
  <si>
    <t>Make your extra payments to the balance owed to the creditor charging the highest interest rate.  This may not be the creditor you owe the most to.</t>
  </si>
  <si>
    <t>FSRAO Licence #13267 and 13268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</si>
</sst>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00_-;\-&quot;$&quot;* #,##0.00_-;_-&quot;$&quot;* &quot;-&quot;??_-;_-@_-"/>
    <numFmt numFmtId="165" formatCode="&quot;$&quot;#,##0.00"/>
    <numFmt numFmtId="166" formatCode="General&quot; years&quot;"/>
    <numFmt numFmtId="167" formatCode="General&quot; months&quot;"/>
    <numFmt numFmtId="168" formatCode="[$-1009]mmmm\ d\,\ yyyy;@"/>
  </numFmts>
  <fonts count="37" x14ac:knownFonts="1">
    <font>
      <sz val="11"/>
      <color theme="1"/>
      <name val="Calibri"/>
      <family val="2"/>
      <scheme val="minor"/>
    </font>
    <font>
      <sz val="16"/>
      <color rgb="FF005596"/>
      <name val="Arial Black"/>
      <family val="2"/>
    </font>
    <font>
      <b/>
      <sz val="14"/>
      <color theme="1" tint="0.14999847407452621"/>
      <name val="Calibri"/>
      <family val="2"/>
      <scheme val="minor"/>
    </font>
    <font>
      <i/>
      <sz val="11"/>
      <color theme="1"/>
      <name val="Calibri"/>
      <family val="2"/>
      <scheme val="minor"/>
    </font>
    <font>
      <b/>
      <sz val="14"/>
      <color theme="0"/>
      <name val="Calibri"/>
      <family val="2"/>
      <scheme val="minor"/>
    </font>
    <font>
      <b/>
      <sz val="11"/>
      <color rgb="FFFFFFFF"/>
      <name val="Calibri"/>
      <family val="2"/>
    </font>
    <font>
      <b/>
      <sz val="11"/>
      <color theme="0"/>
      <name val="Calibri"/>
      <family val="2"/>
      <scheme val="minor"/>
    </font>
    <font>
      <u/>
      <sz val="11"/>
      <color theme="10"/>
      <name val="Calibri"/>
      <family val="2"/>
      <scheme val="minor"/>
    </font>
    <font>
      <sz val="11"/>
      <color rgb="FF006100"/>
      <name val="Calibri"/>
      <family val="2"/>
      <scheme val="minor"/>
    </font>
    <font>
      <b/>
      <sz val="11"/>
      <color rgb="FF006100"/>
      <name val="Calibri"/>
      <family val="2"/>
      <scheme val="minor"/>
    </font>
    <font>
      <b/>
      <sz val="11"/>
      <color theme="1"/>
      <name val="Calibri"/>
      <family val="2"/>
      <scheme val="minor"/>
    </font>
    <font>
      <sz val="11"/>
      <color rgb="FF7030A0"/>
      <name val="Calibri"/>
      <family val="2"/>
      <scheme val="minor"/>
    </font>
    <font>
      <sz val="11"/>
      <color theme="0"/>
      <name val="Calibri"/>
      <family val="2"/>
      <scheme val="minor"/>
    </font>
    <font>
      <sz val="18"/>
      <color rgb="FF005596"/>
      <name val="Arial Black"/>
      <family val="2"/>
    </font>
    <font>
      <b/>
      <sz val="14"/>
      <name val="Calibri"/>
      <family val="2"/>
      <scheme val="minor"/>
    </font>
    <font>
      <sz val="11"/>
      <color rgb="FFFF0000"/>
      <name val="Calibri"/>
      <family val="2"/>
      <scheme val="minor"/>
    </font>
    <font>
      <sz val="11"/>
      <name val="Calibri"/>
      <family val="2"/>
      <scheme val="minor"/>
    </font>
    <font>
      <sz val="10"/>
      <color theme="1"/>
      <name val="Calibri"/>
      <family val="2"/>
      <scheme val="minor"/>
    </font>
    <font>
      <b/>
      <sz val="11"/>
      <color rgb="FFFF0000"/>
      <name val="Calibri"/>
      <family val="2"/>
      <scheme val="minor"/>
    </font>
    <font>
      <sz val="10"/>
      <name val="Arial"/>
      <family val="2"/>
    </font>
    <font>
      <b/>
      <i/>
      <sz val="16"/>
      <color theme="0"/>
      <name val="Calibri"/>
      <family val="2"/>
      <scheme val="minor"/>
    </font>
    <font>
      <b/>
      <i/>
      <sz val="14"/>
      <color rgb="FF005596"/>
      <name val="Calibri"/>
      <family val="2"/>
      <scheme val="minor"/>
    </font>
    <font>
      <b/>
      <sz val="12"/>
      <color theme="0"/>
      <name val="Calibri"/>
      <family val="2"/>
      <scheme val="minor"/>
    </font>
    <font>
      <sz val="8"/>
      <color theme="0"/>
      <name val="Verdana"/>
      <family val="2"/>
    </font>
    <font>
      <sz val="48"/>
      <color theme="4" tint="-0.249977111117893"/>
      <name val="Aharoni"/>
      <charset val="177"/>
    </font>
    <font>
      <sz val="26"/>
      <color theme="1"/>
      <name val="Calibri"/>
      <family val="2"/>
      <scheme val="minor"/>
    </font>
    <font>
      <sz val="11"/>
      <color theme="1"/>
      <name val="Calibri"/>
      <family val="2"/>
      <scheme val="minor"/>
    </font>
    <font>
      <sz val="12"/>
      <name val="Arial"/>
      <family val="2"/>
    </font>
    <font>
      <b/>
      <sz val="10"/>
      <name val="Arial"/>
      <family val="2"/>
    </font>
    <font>
      <sz val="10"/>
      <color theme="1"/>
      <name val="Arial"/>
      <family val="2"/>
    </font>
    <font>
      <sz val="10"/>
      <color indexed="8"/>
      <name val="Arial"/>
      <family val="2"/>
    </font>
    <font>
      <b/>
      <sz val="10"/>
      <color theme="1"/>
      <name val="Arial"/>
      <family val="2"/>
    </font>
    <font>
      <u/>
      <sz val="10"/>
      <color indexed="12"/>
      <name val="Arial"/>
      <family val="2"/>
    </font>
    <font>
      <u/>
      <sz val="10"/>
      <color theme="10"/>
      <name val="Arial"/>
      <family val="2"/>
    </font>
    <font>
      <sz val="8"/>
      <color rgb="FF000000"/>
      <name val="Tahoma"/>
      <family val="2"/>
    </font>
    <font>
      <sz val="11"/>
      <color theme="0" tint="-0.499984740745262"/>
      <name val="Calibri"/>
      <family val="2"/>
      <scheme val="minor"/>
    </font>
    <font>
      <b/>
      <sz val="11"/>
      <color theme="0" tint="-0.499984740745262"/>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005596"/>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C6EFCE"/>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C6EFCE"/>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rgb="FF005596"/>
        <bgColor rgb="FF000000"/>
      </patternFill>
    </fill>
  </fills>
  <borders count="159">
    <border>
      <left/>
      <right/>
      <top/>
      <bottom/>
      <diagonal/>
    </border>
    <border>
      <left/>
      <right/>
      <top/>
      <bottom style="medium">
        <color rgb="FF005596"/>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thin">
        <color theme="1" tint="0.499984740745262"/>
      </right>
      <top style="medium">
        <color theme="1" tint="0.499984740745262"/>
      </top>
      <bottom/>
      <diagonal/>
    </border>
    <border>
      <left style="thin">
        <color theme="1" tint="0.499984740745262"/>
      </left>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style="thin">
        <color theme="1" tint="0.499984740745262"/>
      </right>
      <top/>
      <bottom style="medium">
        <color theme="1" tint="0.499984740745262"/>
      </bottom>
      <diagonal/>
    </border>
    <border>
      <left style="thin">
        <color theme="1" tint="0.499984740745262"/>
      </left>
      <right/>
      <top/>
      <bottom style="medium">
        <color theme="1" tint="0.49998474074526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medium">
        <color theme="1" tint="0.499984740745262"/>
      </left>
      <right/>
      <top/>
      <bottom/>
      <diagonal/>
    </border>
    <border>
      <left/>
      <right/>
      <top style="thin">
        <color theme="0" tint="-0.14996795556505021"/>
      </top>
      <bottom style="thin">
        <color theme="0" tint="-0.14996795556505021"/>
      </bottom>
      <diagonal/>
    </border>
    <border>
      <left/>
      <right style="medium">
        <color theme="1" tint="0.499984740745262"/>
      </right>
      <top style="thin">
        <color theme="0" tint="-0.14996795556505021"/>
      </top>
      <bottom style="thin">
        <color theme="0" tint="-0.14996795556505021"/>
      </bottom>
      <diagonal/>
    </border>
    <border>
      <left/>
      <right/>
      <top style="medium">
        <color theme="1" tint="0.499984740745262"/>
      </top>
      <bottom style="thin">
        <color theme="0" tint="-0.14996795556505021"/>
      </bottom>
      <diagonal/>
    </border>
    <border>
      <left/>
      <right style="medium">
        <color theme="1" tint="0.499984740745262"/>
      </right>
      <top style="medium">
        <color theme="1" tint="0.499984740745262"/>
      </top>
      <bottom style="thin">
        <color theme="0" tint="-0.14996795556505021"/>
      </bottom>
      <diagonal/>
    </border>
    <border>
      <left/>
      <right/>
      <top style="thin">
        <color theme="0" tint="-0.14996795556505021"/>
      </top>
      <bottom style="medium">
        <color theme="1" tint="0.499984740745262"/>
      </bottom>
      <diagonal/>
    </border>
    <border>
      <left/>
      <right style="medium">
        <color theme="1" tint="0.499984740745262"/>
      </right>
      <top style="thin">
        <color theme="0" tint="-0.14996795556505021"/>
      </top>
      <bottom style="medium">
        <color theme="1" tint="0.499984740745262"/>
      </bottom>
      <diagonal/>
    </border>
    <border>
      <left style="thin">
        <color auto="1"/>
      </left>
      <right style="thin">
        <color auto="1"/>
      </right>
      <top style="medium">
        <color theme="1" tint="0.499984740745262"/>
      </top>
      <bottom style="thin">
        <color auto="1"/>
      </bottom>
      <diagonal/>
    </border>
    <border>
      <left style="thin">
        <color auto="1"/>
      </left>
      <right style="medium">
        <color theme="1" tint="0.499984740745262"/>
      </right>
      <top style="medium">
        <color theme="1" tint="0.499984740745262"/>
      </top>
      <bottom style="thin">
        <color auto="1"/>
      </bottom>
      <diagonal/>
    </border>
    <border>
      <left style="thin">
        <color auto="1"/>
      </left>
      <right style="thin">
        <color auto="1"/>
      </right>
      <top style="thin">
        <color auto="1"/>
      </top>
      <bottom style="medium">
        <color theme="1" tint="0.499984740745262"/>
      </bottom>
      <diagonal/>
    </border>
    <border>
      <left style="thin">
        <color auto="1"/>
      </left>
      <right style="medium">
        <color theme="1" tint="0.499984740745262"/>
      </right>
      <top style="thin">
        <color auto="1"/>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thin">
        <color auto="1"/>
      </left>
      <right style="thin">
        <color auto="1"/>
      </right>
      <top style="medium">
        <color theme="1" tint="0.499984740745262"/>
      </top>
      <bottom style="medium">
        <color theme="1" tint="0.499984740745262"/>
      </bottom>
      <diagonal/>
    </border>
    <border>
      <left style="thin">
        <color auto="1"/>
      </left>
      <right style="medium">
        <color theme="1" tint="0.499984740745262"/>
      </right>
      <top style="medium">
        <color theme="1" tint="0.499984740745262"/>
      </top>
      <bottom style="medium">
        <color theme="1" tint="0.499984740745262"/>
      </bottom>
      <diagonal/>
    </border>
    <border>
      <left style="medium">
        <color theme="1" tint="0.499984740745262"/>
      </left>
      <right style="thin">
        <color auto="1"/>
      </right>
      <top style="medium">
        <color theme="1" tint="0.499984740745262"/>
      </top>
      <bottom style="medium">
        <color theme="1" tint="0.499984740745262"/>
      </bottom>
      <diagonal/>
    </border>
    <border>
      <left style="medium">
        <color theme="1" tint="0.499984740745262"/>
      </left>
      <right style="thin">
        <color indexed="64"/>
      </right>
      <top style="medium">
        <color theme="1" tint="0.499984740745262"/>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medium">
        <color theme="1" tint="0.499984740745262"/>
      </left>
      <right/>
      <top style="medium">
        <color theme="1" tint="0.499984740745262"/>
      </top>
      <bottom style="thin">
        <color theme="0" tint="-0.14996795556505021"/>
      </bottom>
      <diagonal/>
    </border>
    <border>
      <left style="medium">
        <color theme="1" tint="0.499984740745262"/>
      </left>
      <right/>
      <top style="thin">
        <color theme="0" tint="-0.14996795556505021"/>
      </top>
      <bottom style="thin">
        <color theme="0" tint="-0.14996795556505021"/>
      </bottom>
      <diagonal/>
    </border>
    <border>
      <left style="medium">
        <color theme="1" tint="0.499984740745262"/>
      </left>
      <right/>
      <top style="thin">
        <color theme="0" tint="-0.14996795556505021"/>
      </top>
      <bottom style="medium">
        <color theme="1" tint="0.499984740745262"/>
      </bottom>
      <diagonal/>
    </border>
    <border>
      <left style="medium">
        <color theme="1" tint="0.499984740745262"/>
      </left>
      <right/>
      <top/>
      <bottom style="thin">
        <color theme="0" tint="-0.14996795556505021"/>
      </bottom>
      <diagonal/>
    </border>
    <border>
      <left/>
      <right/>
      <top/>
      <bottom style="thin">
        <color theme="0" tint="-0.14996795556505021"/>
      </bottom>
      <diagonal/>
    </border>
    <border>
      <left/>
      <right style="medium">
        <color theme="1" tint="0.499984740745262"/>
      </right>
      <top/>
      <bottom style="thin">
        <color theme="0" tint="-0.14996795556505021"/>
      </bottom>
      <diagonal/>
    </border>
    <border>
      <left style="medium">
        <color theme="1" tint="0.499984740745262"/>
      </left>
      <right/>
      <top style="thin">
        <color theme="0" tint="-0.14996795556505021"/>
      </top>
      <bottom/>
      <diagonal/>
    </border>
    <border>
      <left/>
      <right/>
      <top style="thin">
        <color theme="0" tint="-0.14996795556505021"/>
      </top>
      <bottom/>
      <diagonal/>
    </border>
    <border>
      <left/>
      <right style="medium">
        <color theme="1" tint="0.499984740745262"/>
      </right>
      <top style="thin">
        <color theme="0" tint="-0.14996795556505021"/>
      </top>
      <bottom/>
      <diagonal/>
    </border>
    <border>
      <left style="medium">
        <color theme="1" tint="0.499984740745262"/>
      </left>
      <right/>
      <top style="thin">
        <color indexed="64"/>
      </top>
      <bottom style="medium">
        <color theme="1" tint="0.499984740745262"/>
      </bottom>
      <diagonal/>
    </border>
    <border>
      <left/>
      <right/>
      <top style="thin">
        <color indexed="64"/>
      </top>
      <bottom style="medium">
        <color theme="1" tint="0.499984740745262"/>
      </bottom>
      <diagonal/>
    </border>
    <border>
      <left/>
      <right style="medium">
        <color theme="1" tint="0.499984740745262"/>
      </right>
      <top style="thin">
        <color indexed="64"/>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theme="1" tint="0.499984740745262"/>
      </left>
      <right style="thin">
        <color auto="1"/>
      </right>
      <top style="medium">
        <color theme="1" tint="0.499984740745262"/>
      </top>
      <bottom style="thin">
        <color auto="1"/>
      </bottom>
      <diagonal/>
    </border>
    <border>
      <left style="thin">
        <color theme="1" tint="0.499984740745262"/>
      </left>
      <right style="thin">
        <color auto="1"/>
      </right>
      <top style="thin">
        <color auto="1"/>
      </top>
      <bottom style="medium">
        <color theme="1" tint="0.499984740745262"/>
      </bottom>
      <diagonal/>
    </border>
    <border>
      <left style="medium">
        <color theme="1" tint="0.499984740745262"/>
      </left>
      <right style="medium">
        <color theme="1" tint="0.499984740745262"/>
      </right>
      <top/>
      <bottom style="thin">
        <color theme="1" tint="0.499984740745262"/>
      </bottom>
      <diagonal/>
    </border>
    <border>
      <left style="medium">
        <color theme="1" tint="0.499984740745262"/>
      </left>
      <right style="thin">
        <color theme="1" tint="0.499984740745262"/>
      </right>
      <top/>
      <bottom style="thin">
        <color theme="1" tint="0.499984740745262"/>
      </bottom>
      <diagonal/>
    </border>
    <border>
      <left/>
      <right style="medium">
        <color theme="1" tint="0.499984740745262"/>
      </right>
      <top/>
      <bottom/>
      <diagonal/>
    </border>
    <border>
      <left style="medium">
        <color theme="1" tint="0.499984740745262"/>
      </left>
      <right style="thin">
        <color theme="0" tint="-0.14996795556505021"/>
      </right>
      <top style="medium">
        <color theme="1" tint="0.499984740745262"/>
      </top>
      <bottom style="thin">
        <color theme="0" tint="-0.14996795556505021"/>
      </bottom>
      <diagonal/>
    </border>
    <border>
      <left style="thin">
        <color theme="0" tint="-0.14996795556505021"/>
      </left>
      <right style="thin">
        <color theme="0" tint="-0.14996795556505021"/>
      </right>
      <top style="medium">
        <color theme="1" tint="0.499984740745262"/>
      </top>
      <bottom style="thin">
        <color theme="0" tint="-0.14996795556505021"/>
      </bottom>
      <diagonal/>
    </border>
    <border>
      <left style="thin">
        <color theme="0" tint="-0.14996795556505021"/>
      </left>
      <right style="medium">
        <color theme="1" tint="0.499984740745262"/>
      </right>
      <top style="medium">
        <color theme="1" tint="0.499984740745262"/>
      </top>
      <bottom style="thin">
        <color theme="0" tint="-0.14996795556505021"/>
      </bottom>
      <diagonal/>
    </border>
    <border>
      <left style="medium">
        <color theme="1" tint="0.499984740745262"/>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1" tint="0.499984740745262"/>
      </right>
      <top style="thin">
        <color theme="0" tint="-0.14996795556505021"/>
      </top>
      <bottom style="thin">
        <color theme="0" tint="-0.14996795556505021"/>
      </bottom>
      <diagonal/>
    </border>
    <border>
      <left style="medium">
        <color theme="1" tint="0.499984740745262"/>
      </left>
      <right style="thin">
        <color theme="0" tint="-0.14996795556505021"/>
      </right>
      <top style="thin">
        <color theme="0" tint="-0.14996795556505021"/>
      </top>
      <bottom style="medium">
        <color theme="1" tint="0.499984740745262"/>
      </bottom>
      <diagonal/>
    </border>
    <border>
      <left style="thin">
        <color theme="0" tint="-0.14996795556505021"/>
      </left>
      <right style="thin">
        <color theme="0" tint="-0.14996795556505021"/>
      </right>
      <top style="thin">
        <color theme="0" tint="-0.14996795556505021"/>
      </top>
      <bottom style="medium">
        <color theme="1" tint="0.499984740745262"/>
      </bottom>
      <diagonal/>
    </border>
    <border>
      <left style="thin">
        <color theme="0" tint="-0.14996795556505021"/>
      </left>
      <right style="medium">
        <color theme="1" tint="0.499984740745262"/>
      </right>
      <top style="thin">
        <color theme="0" tint="-0.14996795556505021"/>
      </top>
      <bottom style="medium">
        <color theme="1" tint="0.499984740745262"/>
      </bottom>
      <diagonal/>
    </border>
    <border>
      <left/>
      <right style="thin">
        <color theme="0" tint="-0.14996795556505021"/>
      </right>
      <top style="medium">
        <color theme="1" tint="0.499984740745262"/>
      </top>
      <bottom style="medium">
        <color theme="1" tint="0.499984740745262"/>
      </bottom>
      <diagonal/>
    </border>
    <border>
      <left style="thin">
        <color theme="0" tint="-0.14996795556505021"/>
      </left>
      <right style="thin">
        <color theme="0" tint="-0.14996795556505021"/>
      </right>
      <top style="medium">
        <color theme="1" tint="0.499984740745262"/>
      </top>
      <bottom style="medium">
        <color theme="1" tint="0.499984740745262"/>
      </bottom>
      <diagonal/>
    </border>
    <border>
      <left style="thin">
        <color theme="0" tint="-0.14996795556505021"/>
      </left>
      <right style="medium">
        <color theme="1" tint="0.499984740745262"/>
      </right>
      <top style="medium">
        <color theme="1" tint="0.499984740745262"/>
      </top>
      <bottom style="medium">
        <color theme="1" tint="0.499984740745262"/>
      </bottom>
      <diagonal/>
    </border>
    <border>
      <left/>
      <right style="thin">
        <color theme="0" tint="-0.14996795556505021"/>
      </right>
      <top style="medium">
        <color theme="1" tint="0.499984740745262"/>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medium">
        <color theme="1" tint="0.499984740745262"/>
      </top>
      <bottom/>
      <diagonal/>
    </border>
    <border>
      <left style="thin">
        <color theme="0" tint="-0.14996795556505021"/>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style="thin">
        <color theme="0" tint="-0.14996795556505021"/>
      </top>
      <bottom style="thin">
        <color theme="0" tint="-0.14996795556505021"/>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medium">
        <color theme="1" tint="0.499984740745262"/>
      </right>
      <top/>
      <bottom style="thin">
        <color theme="0" tint="-0.14993743705557422"/>
      </bottom>
      <diagonal/>
    </border>
    <border>
      <left style="thin">
        <color theme="0" tint="-0.14996795556505021"/>
      </left>
      <right/>
      <top style="thin">
        <color theme="0" tint="-0.14996795556505021"/>
      </top>
      <bottom style="medium">
        <color theme="1" tint="0.499984740745262"/>
      </bottom>
      <diagonal/>
    </border>
    <border>
      <left style="thin">
        <color theme="0" tint="-0.14993743705557422"/>
      </left>
      <right style="thin">
        <color theme="0" tint="-0.14993743705557422"/>
      </right>
      <top/>
      <bottom style="medium">
        <color theme="1" tint="0.499984740745262"/>
      </bottom>
      <diagonal/>
    </border>
    <border>
      <left style="thin">
        <color theme="0" tint="-0.14993743705557422"/>
      </left>
      <right style="medium">
        <color theme="1" tint="0.499984740745262"/>
      </right>
      <top/>
      <bottom style="medium">
        <color theme="1" tint="0.49998474074526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1" tint="0.499984740745262"/>
      </right>
      <top style="thin">
        <color theme="0" tint="-0.14993743705557422"/>
      </top>
      <bottom style="thin">
        <color theme="0" tint="-0.14996795556505021"/>
      </bottom>
      <diagonal/>
    </border>
    <border>
      <left style="medium">
        <color theme="1" tint="0.499984740745262"/>
      </left>
      <right/>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medium">
        <color theme="1" tint="0.499984740745262"/>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medium">
        <color theme="1" tint="0.499984740745262"/>
      </right>
      <top/>
      <bottom style="thin">
        <color theme="0" tint="-0.14996795556505021"/>
      </bottom>
      <diagonal/>
    </border>
    <border>
      <left style="medium">
        <color theme="1" tint="0.499984740745262"/>
      </left>
      <right style="thin">
        <color theme="0" tint="-0.14996795556505021"/>
      </right>
      <top style="thin">
        <color theme="0" tint="-0.14996795556505021"/>
      </top>
      <bottom style="thin">
        <color theme="1" tint="0.499984740745262"/>
      </bottom>
      <diagonal/>
    </border>
    <border>
      <left style="thin">
        <color theme="0" tint="-0.14996795556505021"/>
      </left>
      <right style="thin">
        <color theme="0" tint="-0.14996795556505021"/>
      </right>
      <top style="thin">
        <color theme="0" tint="-0.14996795556505021"/>
      </top>
      <bottom style="thin">
        <color theme="1" tint="0.499984740745262"/>
      </bottom>
      <diagonal/>
    </border>
    <border>
      <left style="thin">
        <color theme="0" tint="-0.14996795556505021"/>
      </left>
      <right style="medium">
        <color theme="1" tint="0.499984740745262"/>
      </right>
      <top style="thin">
        <color theme="0" tint="-0.14996795556505021"/>
      </top>
      <bottom style="thin">
        <color theme="1" tint="0.499984740745262"/>
      </bottom>
      <diagonal/>
    </border>
    <border>
      <left style="thin">
        <color theme="0" tint="-0.14996795556505021"/>
      </left>
      <right/>
      <top style="medium">
        <color theme="1" tint="0.499984740745262"/>
      </top>
      <bottom style="thin">
        <color theme="0" tint="-0.14996795556505021"/>
      </bottom>
      <diagonal/>
    </border>
    <border>
      <left style="thin">
        <color theme="0" tint="-0.14996795556505021"/>
      </left>
      <right/>
      <top style="thin">
        <color theme="0" tint="-0.14996795556505021"/>
      </top>
      <bottom style="thin">
        <color theme="1" tint="0.499984740745262"/>
      </bottom>
      <diagonal/>
    </border>
    <border>
      <left style="thin">
        <color theme="1" tint="0.499984740745262"/>
      </left>
      <right style="thin">
        <color theme="0" tint="-0.14996795556505021"/>
      </right>
      <top style="medium">
        <color theme="1" tint="0.499984740745262"/>
      </top>
      <bottom style="thin">
        <color theme="0" tint="-0.14996795556505021"/>
      </bottom>
      <diagonal/>
    </border>
    <border>
      <left style="thin">
        <color theme="1" tint="0.499984740745262"/>
      </left>
      <right style="thin">
        <color theme="0" tint="-0.14996795556505021"/>
      </right>
      <top style="thin">
        <color theme="0" tint="-0.14996795556505021"/>
      </top>
      <bottom style="thin">
        <color theme="0" tint="-0.14996795556505021"/>
      </bottom>
      <diagonal/>
    </border>
    <border>
      <left style="thin">
        <color theme="1" tint="0.499984740745262"/>
      </left>
      <right style="thin">
        <color theme="0" tint="-0.14996795556505021"/>
      </right>
      <top style="thin">
        <color theme="0" tint="-0.14996795556505021"/>
      </top>
      <bottom style="thin">
        <color theme="1" tint="0.499984740745262"/>
      </bottom>
      <diagonal/>
    </border>
    <border>
      <left style="thin">
        <color theme="1" tint="0.499984740745262"/>
      </left>
      <right style="thin">
        <color theme="0" tint="-0.14996795556505021"/>
      </right>
      <top/>
      <bottom style="thin">
        <color theme="0" tint="-0.14996795556505021"/>
      </bottom>
      <diagonal/>
    </border>
    <border>
      <left style="thin">
        <color theme="1" tint="0.499984740745262"/>
      </left>
      <right style="thin">
        <color theme="0" tint="-0.14996795556505021"/>
      </right>
      <top style="thin">
        <color theme="0" tint="-0.14996795556505021"/>
      </top>
      <bottom style="medium">
        <color theme="1" tint="0.499984740745262"/>
      </bottom>
      <diagonal/>
    </border>
    <border>
      <left style="thin">
        <color theme="1" tint="0.499984740745262"/>
      </left>
      <right/>
      <top style="thin">
        <color theme="0" tint="-0.14996795556505021"/>
      </top>
      <bottom style="thin">
        <color theme="0" tint="-0.14996795556505021"/>
      </bottom>
      <diagonal/>
    </border>
    <border>
      <left/>
      <right style="thin">
        <color theme="1" tint="0.499984740745262"/>
      </right>
      <top style="medium">
        <color theme="1" tint="0.499984740745262"/>
      </top>
      <bottom/>
      <diagonal/>
    </border>
    <border>
      <left/>
      <right style="thin">
        <color theme="1" tint="0.499984740745262"/>
      </right>
      <top/>
      <bottom style="medium">
        <color theme="1" tint="0.499984740745262"/>
      </bottom>
      <diagonal/>
    </border>
    <border>
      <left style="medium">
        <color theme="1" tint="0.49998474074526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right style="thin">
        <color theme="0" tint="-4.9989318521683403E-2"/>
      </right>
      <top/>
      <bottom/>
      <diagonal/>
    </border>
    <border>
      <left style="medium">
        <color theme="1" tint="0.49998474074526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right style="thin">
        <color theme="1" tint="0.499984740745262"/>
      </right>
      <top style="medium">
        <color theme="1" tint="0.499984740745262"/>
      </top>
      <bottom style="thin">
        <color theme="0" tint="-0.14996795556505021"/>
      </bottom>
      <diagonal/>
    </border>
    <border>
      <left style="medium">
        <color theme="1" tint="0.499984740745262"/>
      </left>
      <right/>
      <top style="thin">
        <color theme="1" tint="0.499984740745262"/>
      </top>
      <bottom/>
      <diagonal/>
    </border>
    <border>
      <left/>
      <right style="medium">
        <color theme="1" tint="0.499984740745262"/>
      </right>
      <top style="thin">
        <color theme="1" tint="0.499984740745262"/>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theme="0" tint="-0.24994659260841701"/>
      </left>
      <right style="thin">
        <color theme="0" tint="-0.24994659260841701"/>
      </right>
      <top style="thin">
        <color auto="1"/>
      </top>
      <bottom style="thin">
        <color auto="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auto="1"/>
      </bottom>
      <diagonal/>
    </border>
    <border>
      <left style="thin">
        <color theme="0" tint="-0.24994659260841701"/>
      </left>
      <right style="thin">
        <color auto="1"/>
      </right>
      <top style="thin">
        <color auto="1"/>
      </top>
      <bottom style="thin">
        <color auto="1"/>
      </bottom>
      <diagonal/>
    </border>
    <border>
      <left style="thin">
        <color theme="0" tint="-0.24994659260841701"/>
      </left>
      <right style="thin">
        <color auto="1"/>
      </right>
      <top/>
      <bottom/>
      <diagonal/>
    </border>
    <border>
      <left style="thin">
        <color theme="0" tint="-0.24994659260841701"/>
      </left>
      <right style="thin">
        <color auto="1"/>
      </right>
      <top/>
      <bottom style="thin">
        <color auto="1"/>
      </bottom>
      <diagonal/>
    </border>
    <border>
      <left/>
      <right style="thin">
        <color theme="0" tint="-0.24994659260841701"/>
      </right>
      <top style="thin">
        <color auto="1"/>
      </top>
      <bottom style="thin">
        <color auto="1"/>
      </bottom>
      <diagonal/>
    </border>
    <border>
      <left style="thin">
        <color auto="1"/>
      </left>
      <right style="thin">
        <color auto="1"/>
      </right>
      <top/>
      <bottom/>
      <diagonal/>
    </border>
    <border>
      <left style="thin">
        <color auto="1"/>
      </left>
      <right style="thin">
        <color theme="0" tint="-0.24994659260841701"/>
      </right>
      <top/>
      <bottom style="thin">
        <color auto="1"/>
      </bottom>
      <diagonal/>
    </border>
    <border>
      <left style="thin">
        <color auto="1"/>
      </left>
      <right style="thin">
        <color theme="0" tint="-0.24994659260841701"/>
      </right>
      <top/>
      <bottom/>
      <diagonal/>
    </border>
    <border>
      <left/>
      <right style="thin">
        <color theme="0" tint="-0.24994659260841701"/>
      </right>
      <top style="thin">
        <color auto="1"/>
      </top>
      <bottom/>
      <diagonal/>
    </border>
    <border>
      <left style="thin">
        <color auto="1"/>
      </left>
      <right style="thin">
        <color theme="0" tint="-0.24994659260841701"/>
      </right>
      <top style="thin">
        <color auto="1"/>
      </top>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indexed="64"/>
      </right>
      <top style="thin">
        <color indexed="64"/>
      </top>
      <bottom/>
      <diagonal/>
    </border>
    <border>
      <left style="medium">
        <color theme="1" tint="0.499984740745262"/>
      </left>
      <right style="medium">
        <color theme="1" tint="0.499984740745262"/>
      </right>
      <top/>
      <bottom/>
      <diagonal/>
    </border>
    <border>
      <left style="thin">
        <color theme="1" tint="0.499984740745262"/>
      </left>
      <right/>
      <top/>
      <bottom/>
      <diagonal/>
    </border>
    <border>
      <left/>
      <right style="thin">
        <color indexed="64"/>
      </right>
      <top/>
      <bottom/>
      <diagonal/>
    </border>
    <border>
      <left style="thin">
        <color theme="1" tint="0.499984740745262"/>
      </left>
      <right/>
      <top style="thin">
        <color theme="0" tint="-0.14996795556505021"/>
      </top>
      <bottom style="medium">
        <color theme="1" tint="0.499984740745262"/>
      </bottom>
      <diagonal/>
    </border>
    <border>
      <left style="thin">
        <color theme="1" tint="0.499984740745262"/>
      </left>
      <right/>
      <top style="thin">
        <color theme="1" tint="0.499984740745262"/>
      </top>
      <bottom style="thin">
        <color theme="0" tint="-0.14996795556505021"/>
      </bottom>
      <diagonal/>
    </border>
    <border>
      <left/>
      <right/>
      <top style="thin">
        <color theme="1" tint="0.499984740745262"/>
      </top>
      <bottom style="thin">
        <color theme="0" tint="-0.14996795556505021"/>
      </bottom>
      <diagonal/>
    </border>
    <border>
      <left/>
      <right style="medium">
        <color theme="1" tint="0.499984740745262"/>
      </right>
      <top style="thin">
        <color theme="1" tint="0.499984740745262"/>
      </top>
      <bottom style="thin">
        <color theme="0" tint="-0.14996795556505021"/>
      </bottom>
      <diagonal/>
    </border>
    <border>
      <left style="thin">
        <color theme="1" tint="0.499984740745262"/>
      </left>
      <right/>
      <top style="thin">
        <color theme="0" tint="-0.14996795556505021"/>
      </top>
      <bottom style="thin">
        <color theme="1" tint="0.499984740745262"/>
      </bottom>
      <diagonal/>
    </border>
    <border>
      <left/>
      <right/>
      <top style="thin">
        <color theme="0" tint="-0.14996795556505021"/>
      </top>
      <bottom style="thin">
        <color theme="1" tint="0.499984740745262"/>
      </bottom>
      <diagonal/>
    </border>
    <border>
      <left/>
      <right style="medium">
        <color theme="1" tint="0.499984740745262"/>
      </right>
      <top style="thin">
        <color theme="0" tint="-0.14996795556505021"/>
      </top>
      <bottom style="thin">
        <color theme="1" tint="0.499984740745262"/>
      </bottom>
      <diagonal/>
    </border>
    <border>
      <left style="thin">
        <color theme="1" tint="0.499984740745262"/>
      </left>
      <right/>
      <top style="medium">
        <color theme="1" tint="0.499984740745262"/>
      </top>
      <bottom style="thin">
        <color theme="0" tint="-0.14996795556505021"/>
      </bottom>
      <diagonal/>
    </border>
    <border>
      <left/>
      <right style="thin">
        <color theme="0" tint="-0.14993743705557422"/>
      </right>
      <top style="thin">
        <color theme="0" tint="-0.14996795556505021"/>
      </top>
      <bottom style="medium">
        <color theme="1" tint="0.499984740745262"/>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right style="thin">
        <color theme="0" tint="-0.14996795556505021"/>
      </right>
      <top style="medium">
        <color theme="1" tint="0.499984740745262"/>
      </top>
      <bottom/>
      <diagonal/>
    </border>
    <border>
      <left style="thin">
        <color auto="1"/>
      </left>
      <right/>
      <top/>
      <bottom/>
      <diagonal/>
    </border>
    <border>
      <left style="thin">
        <color auto="1"/>
      </left>
      <right style="medium">
        <color theme="1" tint="0.499984740745262"/>
      </right>
      <top/>
      <bottom/>
      <diagonal/>
    </border>
  </borders>
  <cellStyleXfs count="15">
    <xf numFmtId="0" fontId="0" fillId="0" borderId="0"/>
    <xf numFmtId="0" fontId="7" fillId="0" borderId="0" applyNumberFormat="0" applyFill="0" applyBorder="0" applyAlignment="0" applyProtection="0"/>
    <xf numFmtId="0" fontId="8" fillId="8" borderId="0" applyNumberFormat="0" applyBorder="0" applyAlignment="0" applyProtection="0"/>
    <xf numFmtId="0" fontId="19" fillId="0" borderId="0"/>
    <xf numFmtId="43" fontId="26" fillId="0" borderId="0" applyFont="0" applyFill="0" applyBorder="0" applyAlignment="0" applyProtection="0"/>
    <xf numFmtId="0" fontId="29" fillId="0" borderId="0"/>
    <xf numFmtId="43" fontId="30" fillId="0" borderId="0" applyFont="0" applyFill="0" applyBorder="0" applyAlignment="0" applyProtection="0"/>
    <xf numFmtId="44" fontId="30" fillId="0" borderId="0" applyFont="0" applyFill="0" applyBorder="0" applyAlignment="0" applyProtection="0"/>
    <xf numFmtId="0" fontId="19" fillId="0" borderId="0"/>
    <xf numFmtId="0" fontId="19" fillId="0" borderId="0"/>
    <xf numFmtId="9" fontId="30" fillId="0" borderId="0" applyFon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43" fontId="19" fillId="0" borderId="0" applyFont="0" applyFill="0" applyBorder="0" applyAlignment="0" applyProtection="0"/>
    <xf numFmtId="164" fontId="26" fillId="0" borderId="0" applyFont="0" applyFill="0" applyBorder="0" applyAlignment="0" applyProtection="0"/>
  </cellStyleXfs>
  <cellXfs count="584">
    <xf numFmtId="0" fontId="0" fillId="0" borderId="0" xfId="0"/>
    <xf numFmtId="0" fontId="0" fillId="2" borderId="0" xfId="0" applyFill="1"/>
    <xf numFmtId="0" fontId="0" fillId="2" borderId="1" xfId="0" applyFill="1" applyBorder="1"/>
    <xf numFmtId="0" fontId="0" fillId="2" borderId="0" xfId="0" applyFill="1" applyAlignment="1">
      <alignment horizontal="left"/>
    </xf>
    <xf numFmtId="0" fontId="3" fillId="2" borderId="0" xfId="0" applyFont="1" applyFill="1" applyAlignment="1">
      <alignment horizontal="left"/>
    </xf>
    <xf numFmtId="0" fontId="0" fillId="2" borderId="0" xfId="0" applyFill="1" applyAlignment="1">
      <alignment horizontal="left" vertical="top"/>
    </xf>
    <xf numFmtId="10" fontId="0" fillId="0" borderId="0" xfId="0" applyNumberFormat="1"/>
    <xf numFmtId="0" fontId="0" fillId="2" borderId="0" xfId="0" applyFill="1" applyAlignment="1">
      <alignment wrapText="1"/>
    </xf>
    <xf numFmtId="0" fontId="0" fillId="0" borderId="0" xfId="0" applyAlignment="1">
      <alignment wrapText="1"/>
    </xf>
    <xf numFmtId="0" fontId="0" fillId="2" borderId="0" xfId="0" applyFill="1" applyAlignment="1">
      <alignment vertical="center"/>
    </xf>
    <xf numFmtId="0" fontId="0" fillId="2" borderId="0" xfId="0" applyFill="1" applyAlignment="1">
      <alignment horizontal="left" vertical="center" indent="8"/>
    </xf>
    <xf numFmtId="0" fontId="9" fillId="2" borderId="0" xfId="2" applyFont="1" applyFill="1" applyAlignment="1">
      <alignment vertical="center"/>
    </xf>
    <xf numFmtId="0" fontId="10" fillId="2" borderId="0" xfId="0" applyFont="1" applyFill="1" applyAlignment="1">
      <alignment horizontal="left" vertical="top"/>
    </xf>
    <xf numFmtId="0" fontId="10" fillId="2" borderId="0" xfId="0" applyFont="1" applyFill="1" applyAlignment="1">
      <alignment horizontal="left"/>
    </xf>
    <xf numFmtId="0" fontId="0" fillId="2" borderId="0" xfId="0" applyFill="1" applyAlignment="1">
      <alignment vertical="top"/>
    </xf>
    <xf numFmtId="0" fontId="2" fillId="2" borderId="6"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0" fillId="2" borderId="6" xfId="0" applyFill="1" applyBorder="1"/>
    <xf numFmtId="165" fontId="0" fillId="2" borderId="22" xfId="0" applyNumberFormat="1" applyFill="1" applyBorder="1"/>
    <xf numFmtId="10" fontId="0" fillId="2" borderId="22" xfId="0" applyNumberFormat="1" applyFill="1" applyBorder="1"/>
    <xf numFmtId="0" fontId="2" fillId="2" borderId="0" xfId="0" applyFont="1" applyFill="1" applyAlignment="1">
      <alignment horizontal="left" vertical="center" indent="4"/>
    </xf>
    <xf numFmtId="0" fontId="0" fillId="2" borderId="5" xfId="0" applyFill="1" applyBorder="1"/>
    <xf numFmtId="0" fontId="2" fillId="2" borderId="0" xfId="0" applyFont="1" applyFill="1" applyAlignment="1">
      <alignment horizontal="left" vertical="center" indent="3"/>
    </xf>
    <xf numFmtId="0" fontId="17" fillId="2" borderId="61" xfId="0" applyFont="1" applyFill="1" applyBorder="1" applyAlignment="1">
      <alignment horizontal="center" vertical="center"/>
    </xf>
    <xf numFmtId="0" fontId="17" fillId="2" borderId="64" xfId="0" applyFont="1" applyFill="1" applyBorder="1" applyAlignment="1">
      <alignment horizontal="center" vertical="center"/>
    </xf>
    <xf numFmtId="0" fontId="0" fillId="0" borderId="0" xfId="0" applyAlignment="1">
      <alignment horizontal="left"/>
    </xf>
    <xf numFmtId="0" fontId="16" fillId="0" borderId="0" xfId="3" applyFont="1" applyAlignment="1">
      <alignment horizontal="left"/>
    </xf>
    <xf numFmtId="0" fontId="16" fillId="0" borderId="0" xfId="3" applyFont="1"/>
    <xf numFmtId="0" fontId="0" fillId="2" borderId="22" xfId="0" applyFill="1" applyBorder="1"/>
    <xf numFmtId="0" fontId="0" fillId="2" borderId="22" xfId="0" applyFill="1" applyBorder="1" applyAlignment="1">
      <alignment horizontal="left" vertical="top" wrapText="1"/>
    </xf>
    <xf numFmtId="0" fontId="0" fillId="2" borderId="0" xfId="0" applyFill="1" applyAlignment="1">
      <alignment horizontal="left" vertical="top" wrapText="1"/>
    </xf>
    <xf numFmtId="0" fontId="0" fillId="2" borderId="57" xfId="0" applyFill="1" applyBorder="1" applyAlignment="1">
      <alignment horizontal="left" vertical="top" wrapText="1"/>
    </xf>
    <xf numFmtId="0" fontId="0" fillId="2" borderId="22" xfId="0" applyFill="1" applyBorder="1" applyAlignment="1">
      <alignment horizontal="left" vertical="top"/>
    </xf>
    <xf numFmtId="0" fontId="0" fillId="2" borderId="57" xfId="0" applyFill="1" applyBorder="1" applyAlignment="1">
      <alignment horizontal="justify" vertical="top" wrapText="1"/>
    </xf>
    <xf numFmtId="0" fontId="0" fillId="2" borderId="57" xfId="0" applyFill="1" applyBorder="1" applyAlignment="1">
      <alignment horizontal="justify" vertical="center" wrapText="1"/>
    </xf>
    <xf numFmtId="0" fontId="0" fillId="2" borderId="57" xfId="0" applyFill="1" applyBorder="1" applyAlignment="1">
      <alignment vertical="top" wrapText="1"/>
    </xf>
    <xf numFmtId="0" fontId="0" fillId="2" borderId="57" xfId="0" applyFill="1" applyBorder="1" applyAlignment="1">
      <alignment vertical="center" wrapText="1"/>
    </xf>
    <xf numFmtId="0" fontId="0" fillId="2" borderId="6" xfId="0" applyFill="1" applyBorder="1" applyAlignment="1">
      <alignment vertical="top" wrapText="1"/>
    </xf>
    <xf numFmtId="0" fontId="0" fillId="2" borderId="7" xfId="0" applyFill="1" applyBorder="1" applyAlignment="1">
      <alignment vertical="top" wrapText="1"/>
    </xf>
    <xf numFmtId="0" fontId="0" fillId="2" borderId="22" xfId="0" applyFill="1" applyBorder="1" applyAlignment="1">
      <alignment horizontal="right" vertical="top" wrapText="1" indent="1"/>
    </xf>
    <xf numFmtId="0" fontId="0" fillId="2" borderId="0" xfId="0" applyFill="1" applyAlignment="1">
      <alignment horizontal="right" vertical="top" wrapText="1" indent="1"/>
    </xf>
    <xf numFmtId="0" fontId="0" fillId="2" borderId="22" xfId="0" applyFill="1" applyBorder="1" applyAlignment="1">
      <alignment vertical="center" wrapText="1"/>
    </xf>
    <xf numFmtId="0" fontId="0" fillId="2" borderId="57" xfId="0" applyFill="1" applyBorder="1"/>
    <xf numFmtId="0" fontId="0" fillId="2" borderId="7" xfId="0" applyFill="1" applyBorder="1"/>
    <xf numFmtId="0" fontId="20" fillId="2" borderId="22" xfId="0" applyFont="1" applyFill="1" applyBorder="1" applyAlignment="1">
      <alignment horizontal="center" vertical="center"/>
    </xf>
    <xf numFmtId="0" fontId="20" fillId="2" borderId="0" xfId="0" applyFont="1" applyFill="1" applyAlignment="1">
      <alignment horizontal="center" vertical="center"/>
    </xf>
    <xf numFmtId="0" fontId="20" fillId="2" borderId="57" xfId="0" applyFont="1" applyFill="1" applyBorder="1" applyAlignment="1">
      <alignment horizontal="center" vertical="center"/>
    </xf>
    <xf numFmtId="0" fontId="0" fillId="2" borderId="44" xfId="0" applyFill="1" applyBorder="1"/>
    <xf numFmtId="0" fontId="2" fillId="2" borderId="44" xfId="0" applyFont="1" applyFill="1" applyBorder="1" applyAlignment="1">
      <alignment horizontal="center" vertical="center"/>
    </xf>
    <xf numFmtId="0" fontId="0" fillId="3" borderId="33" xfId="0" applyFill="1" applyBorder="1" applyAlignment="1">
      <alignment vertical="center"/>
    </xf>
    <xf numFmtId="0" fontId="0" fillId="2" borderId="2" xfId="0" applyFill="1" applyBorder="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12" fillId="2" borderId="22" xfId="0" applyFont="1" applyFill="1" applyBorder="1" applyAlignment="1">
      <alignment horizontal="center" vertical="center"/>
    </xf>
    <xf numFmtId="0" fontId="12" fillId="2" borderId="0" xfId="0" applyFont="1" applyFill="1" applyAlignment="1">
      <alignment horizontal="center" vertical="center"/>
    </xf>
    <xf numFmtId="0" fontId="12" fillId="2" borderId="107" xfId="0" applyFont="1" applyFill="1" applyBorder="1" applyAlignment="1">
      <alignment horizontal="center" vertical="center"/>
    </xf>
    <xf numFmtId="0" fontId="12" fillId="2" borderId="108" xfId="0" applyFont="1" applyFill="1" applyBorder="1" applyAlignment="1">
      <alignment horizontal="center" vertical="center"/>
    </xf>
    <xf numFmtId="0" fontId="12" fillId="2" borderId="109" xfId="0" applyFont="1" applyFill="1" applyBorder="1" applyAlignment="1">
      <alignment horizontal="center" vertical="center"/>
    </xf>
    <xf numFmtId="0" fontId="12" fillId="2" borderId="110" xfId="0" applyFont="1" applyFill="1" applyBorder="1" applyAlignment="1">
      <alignment horizontal="center" vertical="center"/>
    </xf>
    <xf numFmtId="0" fontId="12" fillId="2" borderId="112" xfId="0" applyFont="1" applyFill="1" applyBorder="1" applyAlignment="1">
      <alignment horizontal="center" vertical="center"/>
    </xf>
    <xf numFmtId="0" fontId="12" fillId="2" borderId="113" xfId="0" applyFont="1" applyFill="1" applyBorder="1" applyAlignment="1">
      <alignment horizontal="center" vertical="center"/>
    </xf>
    <xf numFmtId="0" fontId="24" fillId="2" borderId="0" xfId="0" applyFont="1" applyFill="1"/>
    <xf numFmtId="0" fontId="25" fillId="2" borderId="0" xfId="0" applyFont="1" applyFill="1"/>
    <xf numFmtId="0" fontId="7" fillId="2" borderId="0" xfId="1" applyFill="1" applyAlignment="1">
      <alignment horizontal="center"/>
    </xf>
    <xf numFmtId="165" fontId="0" fillId="2" borderId="0" xfId="0" applyNumberFormat="1" applyFill="1"/>
    <xf numFmtId="0" fontId="0" fillId="2" borderId="0" xfId="0" applyFill="1" applyAlignment="1">
      <alignment horizontal="right"/>
    </xf>
    <xf numFmtId="0" fontId="4" fillId="2" borderId="7" xfId="0" applyFont="1" applyFill="1" applyBorder="1" applyAlignment="1">
      <alignment vertical="center"/>
    </xf>
    <xf numFmtId="164" fontId="0" fillId="2" borderId="0" xfId="0" applyNumberFormat="1" applyFill="1"/>
    <xf numFmtId="0" fontId="1" fillId="2" borderId="0" xfId="0" applyFont="1" applyFill="1" applyAlignment="1">
      <alignment vertical="center"/>
    </xf>
    <xf numFmtId="0" fontId="1" fillId="2" borderId="1" xfId="0" applyFont="1" applyFill="1" applyBorder="1" applyAlignment="1">
      <alignment vertical="center"/>
    </xf>
    <xf numFmtId="0" fontId="0" fillId="2" borderId="0" xfId="0" applyFill="1" applyAlignment="1">
      <alignment vertical="top" wrapText="1"/>
    </xf>
    <xf numFmtId="0" fontId="0" fillId="2" borderId="0" xfId="0" applyFill="1" applyAlignment="1">
      <alignment horizontal="left" vertical="center" indent="2"/>
    </xf>
    <xf numFmtId="0" fontId="0" fillId="2" borderId="0" xfId="0" applyFill="1" applyAlignment="1">
      <alignment horizontal="left" wrapText="1" indent="2"/>
    </xf>
    <xf numFmtId="0" fontId="0" fillId="2" borderId="0" xfId="0" applyFill="1" applyAlignment="1">
      <alignment horizontal="left" indent="2"/>
    </xf>
    <xf numFmtId="0" fontId="10" fillId="2" borderId="0" xfId="0" applyFont="1" applyFill="1"/>
    <xf numFmtId="0" fontId="27" fillId="2" borderId="0" xfId="0" applyFont="1" applyFill="1" applyAlignment="1">
      <alignment horizontal="right" vertical="top"/>
    </xf>
    <xf numFmtId="0" fontId="27" fillId="2" borderId="0" xfId="0" applyFont="1" applyFill="1" applyAlignment="1">
      <alignment horizontal="center" vertical="top"/>
    </xf>
    <xf numFmtId="0" fontId="0" fillId="0" borderId="0" xfId="0" applyAlignment="1">
      <alignment horizontal="right"/>
    </xf>
    <xf numFmtId="0" fontId="28" fillId="10" borderId="121" xfId="5" applyFont="1" applyFill="1" applyBorder="1" applyAlignment="1">
      <alignment horizontal="center" vertical="center"/>
    </xf>
    <xf numFmtId="2" fontId="28" fillId="10" borderId="121" xfId="5" applyNumberFormat="1" applyFont="1" applyFill="1" applyBorder="1" applyAlignment="1">
      <alignment horizontal="center" vertical="center"/>
    </xf>
    <xf numFmtId="0" fontId="28" fillId="10" borderId="124" xfId="5" applyFont="1" applyFill="1" applyBorder="1" applyAlignment="1">
      <alignment horizontal="center" vertical="center"/>
    </xf>
    <xf numFmtId="0" fontId="28" fillId="10" borderId="127" xfId="5" applyFont="1" applyFill="1" applyBorder="1" applyAlignment="1">
      <alignment horizontal="center" vertical="center"/>
    </xf>
    <xf numFmtId="0" fontId="31" fillId="10" borderId="120" xfId="5" applyFont="1" applyFill="1" applyBorder="1" applyAlignment="1">
      <alignment horizontal="center" vertical="center"/>
    </xf>
    <xf numFmtId="0" fontId="29" fillId="10" borderId="128" xfId="5" applyFill="1" applyBorder="1" applyAlignment="1">
      <alignment horizontal="center" vertical="center"/>
    </xf>
    <xf numFmtId="0" fontId="29" fillId="10" borderId="20" xfId="5" applyFill="1" applyBorder="1" applyAlignment="1">
      <alignment horizontal="center" vertical="center"/>
    </xf>
    <xf numFmtId="0" fontId="29" fillId="10" borderId="21" xfId="5" applyFill="1" applyBorder="1" applyAlignment="1">
      <alignment horizontal="center" vertical="center"/>
    </xf>
    <xf numFmtId="165" fontId="19" fillId="2" borderId="122" xfId="5" applyNumberFormat="1" applyFont="1" applyFill="1" applyBorder="1" applyAlignment="1">
      <alignment horizontal="center" vertical="center"/>
    </xf>
    <xf numFmtId="165" fontId="19" fillId="2" borderId="125" xfId="5" applyNumberFormat="1" applyFont="1" applyFill="1" applyBorder="1" applyAlignment="1">
      <alignment horizontal="center" vertical="center"/>
    </xf>
    <xf numFmtId="165" fontId="19" fillId="2" borderId="129" xfId="5" applyNumberFormat="1" applyFont="1" applyFill="1" applyBorder="1" applyAlignment="1">
      <alignment horizontal="center" vertical="center"/>
    </xf>
    <xf numFmtId="165" fontId="19" fillId="2" borderId="123" xfId="5" applyNumberFormat="1" applyFont="1" applyFill="1" applyBorder="1" applyAlignment="1">
      <alignment horizontal="center" vertical="center"/>
    </xf>
    <xf numFmtId="165" fontId="19" fillId="2" borderId="126" xfId="5" applyNumberFormat="1" applyFont="1" applyFill="1" applyBorder="1" applyAlignment="1">
      <alignment horizontal="center" vertical="center"/>
    </xf>
    <xf numFmtId="165" fontId="19" fillId="2" borderId="130" xfId="5" applyNumberFormat="1" applyFont="1" applyFill="1" applyBorder="1" applyAlignment="1">
      <alignment horizontal="center" vertical="center"/>
    </xf>
    <xf numFmtId="165" fontId="19" fillId="0" borderId="0" xfId="3" applyNumberFormat="1"/>
    <xf numFmtId="0" fontId="28" fillId="10" borderId="0" xfId="5" applyFont="1" applyFill="1" applyAlignment="1">
      <alignment horizontal="right" vertical="center"/>
    </xf>
    <xf numFmtId="164" fontId="0" fillId="0" borderId="0" xfId="0" applyNumberFormat="1"/>
    <xf numFmtId="165" fontId="19" fillId="2" borderId="132" xfId="5" applyNumberFormat="1" applyFont="1" applyFill="1" applyBorder="1" applyAlignment="1">
      <alignment horizontal="center" vertical="center"/>
    </xf>
    <xf numFmtId="165" fontId="19" fillId="2" borderId="133" xfId="5" applyNumberFormat="1" applyFont="1" applyFill="1" applyBorder="1" applyAlignment="1">
      <alignment horizontal="center" vertical="center"/>
    </xf>
    <xf numFmtId="165" fontId="19" fillId="2" borderId="134" xfId="5" applyNumberFormat="1" applyFont="1" applyFill="1" applyBorder="1" applyAlignment="1">
      <alignment horizontal="center" vertical="center"/>
    </xf>
    <xf numFmtId="165" fontId="19" fillId="2" borderId="131" xfId="5" applyNumberFormat="1" applyFont="1" applyFill="1" applyBorder="1" applyAlignment="1">
      <alignment horizontal="center" vertical="center"/>
    </xf>
    <xf numFmtId="2" fontId="0" fillId="0" borderId="0" xfId="0" applyNumberFormat="1"/>
    <xf numFmtId="0" fontId="2" fillId="10" borderId="10" xfId="0" applyFont="1" applyFill="1" applyBorder="1" applyAlignment="1">
      <alignment horizontal="left" vertical="center" indent="2"/>
    </xf>
    <xf numFmtId="0" fontId="2" fillId="10" borderId="3" xfId="0" applyFont="1" applyFill="1" applyBorder="1" applyAlignment="1">
      <alignment horizontal="left" vertical="center" indent="2"/>
    </xf>
    <xf numFmtId="0" fontId="2" fillId="10" borderId="13" xfId="0" applyFont="1" applyFill="1" applyBorder="1" applyAlignment="1">
      <alignment horizontal="left" vertical="center" indent="2"/>
    </xf>
    <xf numFmtId="0" fontId="2" fillId="10" borderId="6" xfId="0" applyFont="1" applyFill="1" applyBorder="1" applyAlignment="1">
      <alignment horizontal="left" vertical="center" indent="2"/>
    </xf>
    <xf numFmtId="49" fontId="4" fillId="3" borderId="2" xfId="0" applyNumberFormat="1" applyFont="1" applyFill="1" applyBorder="1" applyAlignment="1">
      <alignment horizontal="center" vertical="center"/>
    </xf>
    <xf numFmtId="49" fontId="4" fillId="3" borderId="5" xfId="0" applyNumberFormat="1" applyFont="1" applyFill="1" applyBorder="1" applyAlignment="1">
      <alignment horizontal="center" vertical="center"/>
    </xf>
    <xf numFmtId="0" fontId="2" fillId="10" borderId="4" xfId="0" applyFont="1" applyFill="1" applyBorder="1" applyAlignment="1">
      <alignment horizontal="left" vertical="center" indent="2"/>
    </xf>
    <xf numFmtId="0" fontId="2" fillId="10" borderId="7" xfId="0" applyFont="1" applyFill="1" applyBorder="1" applyAlignment="1">
      <alignment horizontal="left" vertical="center" indent="2"/>
    </xf>
    <xf numFmtId="0" fontId="2" fillId="10" borderId="86" xfId="0" applyFont="1" applyFill="1" applyBorder="1" applyAlignment="1">
      <alignment horizontal="left" vertical="center" indent="2"/>
    </xf>
    <xf numFmtId="0" fontId="2" fillId="10" borderId="87" xfId="0" applyFont="1" applyFill="1" applyBorder="1" applyAlignment="1">
      <alignment horizontal="left" vertical="center" indent="2"/>
    </xf>
    <xf numFmtId="0" fontId="2" fillId="10" borderId="88" xfId="0" applyFont="1" applyFill="1" applyBorder="1" applyAlignment="1">
      <alignment horizontal="left" vertical="center" indent="2"/>
    </xf>
    <xf numFmtId="10" fontId="0" fillId="2" borderId="0" xfId="0" applyNumberFormat="1" applyFill="1"/>
    <xf numFmtId="166" fontId="0" fillId="2" borderId="0" xfId="0" applyNumberFormat="1" applyFill="1"/>
    <xf numFmtId="167" fontId="0" fillId="2" borderId="0" xfId="0" applyNumberFormat="1" applyFill="1"/>
    <xf numFmtId="0" fontId="6" fillId="3" borderId="72" xfId="0" applyFont="1" applyFill="1" applyBorder="1" applyAlignment="1">
      <alignment horizontal="left" vertical="center" wrapText="1" indent="2"/>
    </xf>
    <xf numFmtId="0" fontId="6" fillId="3" borderId="3" xfId="0" applyFont="1" applyFill="1" applyBorder="1" applyAlignment="1">
      <alignment horizontal="left" vertical="center" wrapText="1" indent="2"/>
    </xf>
    <xf numFmtId="0" fontId="6" fillId="3" borderId="156" xfId="0" applyFont="1" applyFill="1" applyBorder="1" applyAlignment="1">
      <alignment horizontal="left" vertical="center" wrapText="1" indent="2"/>
    </xf>
    <xf numFmtId="0" fontId="6" fillId="3" borderId="73" xfId="0" applyFont="1" applyFill="1" applyBorder="1" applyAlignment="1">
      <alignment horizontal="left" vertical="center" wrapText="1" indent="2"/>
    </xf>
    <xf numFmtId="0" fontId="6" fillId="3" borderId="44" xfId="0" applyFont="1" applyFill="1" applyBorder="1" applyAlignment="1">
      <alignment horizontal="left" vertical="center" wrapText="1" indent="2"/>
    </xf>
    <xf numFmtId="0" fontId="6" fillId="3" borderId="74" xfId="0" applyFont="1" applyFill="1" applyBorder="1" applyAlignment="1">
      <alignment horizontal="left" vertical="center" wrapText="1" indent="2"/>
    </xf>
    <xf numFmtId="0" fontId="0" fillId="5" borderId="153" xfId="0" applyFill="1" applyBorder="1" applyAlignment="1">
      <alignment vertical="center" wrapText="1"/>
    </xf>
    <xf numFmtId="0" fontId="0" fillId="5" borderId="154" xfId="0" applyFill="1" applyBorder="1" applyAlignment="1">
      <alignment vertical="center" wrapText="1"/>
    </xf>
    <xf numFmtId="0" fontId="0" fillId="5" borderId="155" xfId="0" applyFill="1" applyBorder="1" applyAlignment="1">
      <alignment vertical="center" wrapText="1"/>
    </xf>
    <xf numFmtId="0" fontId="0" fillId="5" borderId="150" xfId="0" applyFill="1" applyBorder="1" applyAlignment="1">
      <alignment vertical="center" wrapText="1"/>
    </xf>
    <xf numFmtId="0" fontId="0" fillId="5" borderId="151" xfId="0" applyFill="1" applyBorder="1" applyAlignment="1">
      <alignment vertical="center" wrapText="1"/>
    </xf>
    <xf numFmtId="0" fontId="0" fillId="5" borderId="152" xfId="0" applyFill="1" applyBorder="1" applyAlignment="1">
      <alignment vertical="center" wrapText="1"/>
    </xf>
    <xf numFmtId="0" fontId="0" fillId="5" borderId="147" xfId="0" applyFill="1" applyBorder="1" applyAlignment="1">
      <alignment vertical="center" wrapText="1"/>
    </xf>
    <xf numFmtId="0" fontId="0" fillId="5" borderId="148" xfId="0" applyFill="1" applyBorder="1" applyAlignment="1">
      <alignment vertical="center" wrapText="1"/>
    </xf>
    <xf numFmtId="0" fontId="0" fillId="5" borderId="149" xfId="0" applyFill="1" applyBorder="1" applyAlignment="1">
      <alignment vertical="center" wrapText="1"/>
    </xf>
    <xf numFmtId="49" fontId="4" fillId="3" borderId="105" xfId="0" applyNumberFormat="1" applyFont="1" applyFill="1" applyBorder="1" applyAlignment="1">
      <alignment horizontal="center" vertical="center"/>
    </xf>
    <xf numFmtId="49" fontId="4" fillId="3" borderId="106" xfId="0" applyNumberFormat="1" applyFont="1" applyFill="1" applyBorder="1" applyAlignment="1">
      <alignment horizontal="center" vertical="center"/>
    </xf>
    <xf numFmtId="165" fontId="0" fillId="2" borderId="157" xfId="0" applyNumberFormat="1" applyFill="1" applyBorder="1"/>
    <xf numFmtId="0" fontId="0" fillId="2" borderId="137" xfId="0" applyFill="1" applyBorder="1"/>
    <xf numFmtId="0" fontId="10" fillId="2" borderId="158" xfId="0" applyFont="1" applyFill="1" applyBorder="1" applyAlignment="1">
      <alignment horizontal="center" vertical="center"/>
    </xf>
    <xf numFmtId="0" fontId="16" fillId="0" borderId="0" xfId="0" applyFont="1" applyAlignment="1">
      <alignment vertical="center"/>
    </xf>
    <xf numFmtId="0" fontId="0" fillId="2" borderId="0" xfId="0" applyFill="1" applyAlignment="1">
      <alignment horizontal="left" wrapText="1"/>
    </xf>
    <xf numFmtId="0" fontId="0" fillId="2" borderId="0" xfId="0" applyFill="1" applyAlignment="1">
      <alignment horizontal="left" vertical="top" wrapText="1"/>
    </xf>
    <xf numFmtId="0" fontId="0" fillId="2" borderId="0" xfId="0" applyFill="1" applyAlignment="1">
      <alignment horizontal="left" vertical="top"/>
    </xf>
    <xf numFmtId="49" fontId="4" fillId="3" borderId="8" xfId="0" applyNumberFormat="1" applyFont="1" applyFill="1" applyBorder="1" applyAlignment="1">
      <alignment horizontal="center" vertical="center"/>
    </xf>
    <xf numFmtId="49" fontId="4" fillId="3" borderId="9" xfId="0" applyNumberFormat="1" applyFont="1" applyFill="1" applyBorder="1" applyAlignment="1">
      <alignment horizontal="center" vertical="center"/>
    </xf>
    <xf numFmtId="49" fontId="4" fillId="3" borderId="11" xfId="0" applyNumberFormat="1" applyFont="1" applyFill="1" applyBorder="1" applyAlignment="1">
      <alignment horizontal="center" vertical="center"/>
    </xf>
    <xf numFmtId="49" fontId="4" fillId="3" borderId="12" xfId="0" applyNumberFormat="1" applyFont="1" applyFill="1" applyBorder="1" applyAlignment="1">
      <alignment horizontal="center" vertical="center"/>
    </xf>
    <xf numFmtId="0" fontId="2" fillId="2" borderId="10"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0" fillId="2" borderId="0" xfId="0" applyFill="1" applyAlignment="1">
      <alignment horizont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0" fontId="0" fillId="2" borderId="0" xfId="0" applyFill="1" applyAlignment="1">
      <alignment horizontal="center" vertical="top"/>
    </xf>
    <xf numFmtId="0" fontId="9" fillId="11" borderId="2" xfId="0"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2" fillId="3" borderId="42" xfId="0" applyFont="1" applyFill="1" applyBorder="1" applyAlignment="1">
      <alignment horizontal="right" vertical="center" wrapText="1" indent="1"/>
    </xf>
    <xf numFmtId="0" fontId="0" fillId="0" borderId="27" xfId="0" applyBorder="1" applyAlignment="1">
      <alignment horizontal="right" vertical="center" wrapText="1" indent="1"/>
    </xf>
    <xf numFmtId="0" fontId="0" fillId="0" borderId="146" xfId="0" applyBorder="1" applyAlignment="1">
      <alignment horizontal="right" vertical="center" wrapText="1" indent="1"/>
    </xf>
    <xf numFmtId="0" fontId="0" fillId="2" borderId="117" xfId="0" applyFill="1" applyBorder="1" applyAlignment="1">
      <alignment horizontal="right"/>
    </xf>
    <xf numFmtId="0" fontId="0" fillId="2" borderId="118" xfId="0" applyFill="1" applyBorder="1" applyAlignment="1">
      <alignment horizontal="right"/>
    </xf>
    <xf numFmtId="0" fontId="0" fillId="2" borderId="119" xfId="0" applyFill="1" applyBorder="1" applyAlignment="1">
      <alignment horizontal="right"/>
    </xf>
    <xf numFmtId="164" fontId="0" fillId="2" borderId="117" xfId="0" applyNumberFormat="1" applyFill="1" applyBorder="1" applyAlignment="1">
      <alignment horizontal="left" wrapText="1" indent="1"/>
    </xf>
    <xf numFmtId="164" fontId="0" fillId="0" borderId="118" xfId="0" applyNumberFormat="1" applyBorder="1" applyAlignment="1">
      <alignment horizontal="left" wrapText="1" indent="1"/>
    </xf>
    <xf numFmtId="164" fontId="0" fillId="0" borderId="119" xfId="0" applyNumberFormat="1" applyBorder="1" applyAlignment="1">
      <alignment horizontal="left" wrapText="1" indent="1"/>
    </xf>
    <xf numFmtId="0" fontId="10" fillId="12" borderId="14" xfId="0" applyFont="1" applyFill="1" applyBorder="1" applyAlignment="1">
      <alignment horizontal="center" vertical="center"/>
    </xf>
    <xf numFmtId="0" fontId="0" fillId="0" borderId="16" xfId="0" applyBorder="1" applyAlignment="1">
      <alignment horizontal="center" vertical="center"/>
    </xf>
    <xf numFmtId="0" fontId="0" fillId="0" borderId="157" xfId="0" applyBorder="1" applyAlignment="1">
      <alignment horizontal="center" vertical="center"/>
    </xf>
    <xf numFmtId="0" fontId="0" fillId="0" borderId="137" xfId="0" applyBorder="1" applyAlignment="1">
      <alignment horizontal="center" vertical="center"/>
    </xf>
    <xf numFmtId="0" fontId="0" fillId="0" borderId="3" xfId="0" applyBorder="1" applyAlignment="1">
      <alignment horizontal="center" vertical="center"/>
    </xf>
    <xf numFmtId="0" fontId="0" fillId="0" borderId="136" xfId="0" applyBorder="1" applyAlignment="1">
      <alignment horizontal="center" vertical="center"/>
    </xf>
    <xf numFmtId="0" fontId="0" fillId="0" borderId="0" xfId="0" applyAlignment="1">
      <alignment horizontal="center" vertical="center"/>
    </xf>
    <xf numFmtId="0" fontId="0" fillId="2" borderId="0" xfId="0" applyFill="1" applyAlignment="1">
      <alignment horizontal="justify" vertical="center" wrapText="1"/>
    </xf>
    <xf numFmtId="0" fontId="0" fillId="0" borderId="0" xfId="0" applyAlignment="1">
      <alignment wrapText="1"/>
    </xf>
    <xf numFmtId="0" fontId="0" fillId="6" borderId="94" xfId="0" applyFill="1" applyBorder="1" applyAlignment="1">
      <alignment horizontal="right" vertical="center" indent="1"/>
    </xf>
    <xf numFmtId="0" fontId="0" fillId="6" borderId="95" xfId="0" applyFill="1" applyBorder="1" applyAlignment="1">
      <alignment horizontal="right" vertical="center" indent="1"/>
    </xf>
    <xf numFmtId="0" fontId="0" fillId="6" borderId="98" xfId="0" applyFill="1" applyBorder="1" applyAlignment="1">
      <alignment horizontal="right" vertical="center" indent="1"/>
    </xf>
    <xf numFmtId="10" fontId="0" fillId="6" borderId="142" xfId="0" applyNumberFormat="1" applyFill="1" applyBorder="1" applyAlignment="1">
      <alignment horizontal="right" vertical="center" indent="1"/>
    </xf>
    <xf numFmtId="0" fontId="0" fillId="0" borderId="143" xfId="0" applyBorder="1" applyAlignment="1">
      <alignment horizontal="right" vertical="center" indent="1"/>
    </xf>
    <xf numFmtId="0" fontId="0" fillId="0" borderId="144" xfId="0" applyBorder="1" applyAlignment="1">
      <alignment horizontal="right" vertical="center" indent="1"/>
    </xf>
    <xf numFmtId="0" fontId="0" fillId="9" borderId="91" xfId="0" applyFill="1" applyBorder="1" applyAlignment="1">
      <alignment horizontal="right" vertical="center" indent="1"/>
    </xf>
    <xf numFmtId="0" fontId="0" fillId="9" borderId="92" xfId="0" applyFill="1" applyBorder="1" applyAlignment="1">
      <alignment horizontal="right" vertical="center" indent="1"/>
    </xf>
    <xf numFmtId="0" fontId="0" fillId="9" borderId="73" xfId="0" applyFill="1" applyBorder="1" applyAlignment="1">
      <alignment horizontal="right" vertical="center" indent="1"/>
    </xf>
    <xf numFmtId="164" fontId="0" fillId="9" borderId="139" xfId="0" applyNumberFormat="1" applyFill="1" applyBorder="1" applyAlignment="1">
      <alignment horizontal="left" vertical="center" indent="1"/>
    </xf>
    <xf numFmtId="0" fontId="0" fillId="0" borderId="140" xfId="0" applyBorder="1" applyAlignment="1">
      <alignment horizontal="left" vertical="center" indent="1"/>
    </xf>
    <xf numFmtId="0" fontId="0" fillId="0" borderId="141" xfId="0" applyBorder="1" applyAlignment="1">
      <alignment horizontal="left" vertical="center" indent="1"/>
    </xf>
    <xf numFmtId="0" fontId="0" fillId="9" borderId="61" xfId="0" applyFill="1" applyBorder="1" applyAlignment="1">
      <alignment horizontal="right" vertical="center" indent="1"/>
    </xf>
    <xf numFmtId="0" fontId="0" fillId="9" borderId="62" xfId="0" applyFill="1" applyBorder="1" applyAlignment="1">
      <alignment horizontal="right" vertical="center" indent="1"/>
    </xf>
    <xf numFmtId="0" fontId="0" fillId="9" borderId="77" xfId="0" applyFill="1" applyBorder="1" applyAlignment="1">
      <alignment horizontal="right" vertical="center" indent="1"/>
    </xf>
    <xf numFmtId="164" fontId="0" fillId="9" borderId="104" xfId="0" applyNumberFormat="1" applyFill="1" applyBorder="1" applyAlignment="1">
      <alignment horizontal="left" vertical="center" indent="1"/>
    </xf>
    <xf numFmtId="0" fontId="0" fillId="0" borderId="23" xfId="0" applyBorder="1" applyAlignment="1">
      <alignment horizontal="left" vertical="center" indent="1"/>
    </xf>
    <xf numFmtId="0" fontId="0" fillId="0" borderId="24" xfId="0" applyBorder="1" applyAlignment="1">
      <alignment horizontal="left" vertical="center" indent="1"/>
    </xf>
    <xf numFmtId="0" fontId="0" fillId="9" borderId="94" xfId="0" applyFill="1" applyBorder="1" applyAlignment="1">
      <alignment horizontal="right" vertical="center" indent="1"/>
    </xf>
    <xf numFmtId="0" fontId="0" fillId="9" borderId="95" xfId="0" applyFill="1" applyBorder="1" applyAlignment="1">
      <alignment horizontal="right" vertical="center" indent="1"/>
    </xf>
    <xf numFmtId="0" fontId="0" fillId="9" borderId="98" xfId="0" applyFill="1" applyBorder="1" applyAlignment="1">
      <alignment horizontal="right" vertical="center" indent="1"/>
    </xf>
    <xf numFmtId="10" fontId="0" fillId="9" borderId="142" xfId="0" applyNumberFormat="1" applyFill="1" applyBorder="1" applyAlignment="1">
      <alignment horizontal="right" vertical="center" indent="1"/>
    </xf>
    <xf numFmtId="164" fontId="10" fillId="2" borderId="41" xfId="0" applyNumberFormat="1" applyFont="1" applyFill="1" applyBorder="1" applyAlignment="1">
      <alignment horizontal="left" indent="1"/>
    </xf>
    <xf numFmtId="164" fontId="10" fillId="2" borderId="23" xfId="0" applyNumberFormat="1" applyFont="1" applyFill="1" applyBorder="1" applyAlignment="1">
      <alignment horizontal="left" indent="1"/>
    </xf>
    <xf numFmtId="164" fontId="10" fillId="2" borderId="24" xfId="0" applyNumberFormat="1" applyFont="1" applyFill="1" applyBorder="1" applyAlignment="1">
      <alignment horizontal="left" indent="1"/>
    </xf>
    <xf numFmtId="10" fontId="10" fillId="2" borderId="41" xfId="0" applyNumberFormat="1" applyFont="1" applyFill="1" applyBorder="1" applyAlignment="1">
      <alignment horizontal="left" indent="1"/>
    </xf>
    <xf numFmtId="10" fontId="10" fillId="2" borderId="23" xfId="0" applyNumberFormat="1" applyFont="1" applyFill="1" applyBorder="1" applyAlignment="1">
      <alignment horizontal="left" indent="1"/>
    </xf>
    <xf numFmtId="10" fontId="10" fillId="2" borderId="24" xfId="0" applyNumberFormat="1" applyFont="1" applyFill="1" applyBorder="1" applyAlignment="1">
      <alignment horizontal="left" indent="1"/>
    </xf>
    <xf numFmtId="164" fontId="10" fillId="2" borderId="42" xfId="0" applyNumberFormat="1" applyFont="1" applyFill="1" applyBorder="1" applyAlignment="1">
      <alignment horizontal="left" indent="1"/>
    </xf>
    <xf numFmtId="164" fontId="10" fillId="2" borderId="27" xfId="0" applyNumberFormat="1" applyFont="1" applyFill="1" applyBorder="1" applyAlignment="1">
      <alignment horizontal="left" indent="1"/>
    </xf>
    <xf numFmtId="164" fontId="10" fillId="2" borderId="28" xfId="0" applyNumberFormat="1" applyFont="1" applyFill="1" applyBorder="1" applyAlignment="1">
      <alignment horizontal="left" indent="1"/>
    </xf>
    <xf numFmtId="0" fontId="12" fillId="3" borderId="5" xfId="0" applyFont="1" applyFill="1" applyBorder="1" applyAlignment="1">
      <alignment horizontal="right" indent="1"/>
    </xf>
    <xf numFmtId="0" fontId="12" fillId="3" borderId="6" xfId="0" applyFont="1" applyFill="1" applyBorder="1" applyAlignment="1">
      <alignment horizontal="right" indent="1"/>
    </xf>
    <xf numFmtId="0" fontId="12" fillId="3" borderId="2" xfId="0" applyFont="1" applyFill="1" applyBorder="1" applyAlignment="1">
      <alignment horizontal="right" indent="1"/>
    </xf>
    <xf numFmtId="0" fontId="12" fillId="3" borderId="3" xfId="0" applyFont="1" applyFill="1" applyBorder="1" applyAlignment="1">
      <alignment horizontal="right" indent="1"/>
    </xf>
    <xf numFmtId="0" fontId="10" fillId="12" borderId="115" xfId="0" applyFont="1" applyFill="1" applyBorder="1" applyAlignment="1">
      <alignment horizontal="center" vertical="center"/>
    </xf>
    <xf numFmtId="0" fontId="10" fillId="12" borderId="90" xfId="0" applyFont="1" applyFill="1" applyBorder="1" applyAlignment="1">
      <alignment horizontal="center" vertical="center"/>
    </xf>
    <xf numFmtId="0" fontId="10" fillId="12" borderId="116" xfId="0" applyFont="1" applyFill="1" applyBorder="1" applyAlignment="1">
      <alignment horizontal="center" vertical="center"/>
    </xf>
    <xf numFmtId="0" fontId="10" fillId="12" borderId="5" xfId="0" applyFont="1" applyFill="1" applyBorder="1" applyAlignment="1">
      <alignment horizontal="center" vertical="center"/>
    </xf>
    <xf numFmtId="0" fontId="10" fillId="12" borderId="6" xfId="0" applyFont="1" applyFill="1" applyBorder="1" applyAlignment="1">
      <alignment horizontal="center" vertical="center"/>
    </xf>
    <xf numFmtId="0" fontId="10" fillId="12" borderId="7" xfId="0" applyFont="1" applyFill="1" applyBorder="1" applyAlignment="1">
      <alignment horizontal="center" vertical="center"/>
    </xf>
    <xf numFmtId="0" fontId="0" fillId="13" borderId="2" xfId="0" applyFill="1" applyBorder="1" applyAlignment="1">
      <alignment horizontal="center"/>
    </xf>
    <xf numFmtId="0" fontId="0" fillId="13" borderId="3" xfId="0" applyFill="1" applyBorder="1" applyAlignment="1">
      <alignment horizontal="center"/>
    </xf>
    <xf numFmtId="0" fontId="0" fillId="13" borderId="4" xfId="0" applyFill="1" applyBorder="1" applyAlignment="1">
      <alignment horizontal="center"/>
    </xf>
    <xf numFmtId="0" fontId="35" fillId="10" borderId="120" xfId="0" applyFont="1" applyFill="1" applyBorder="1" applyAlignment="1">
      <alignment horizontal="right" indent="1"/>
    </xf>
    <xf numFmtId="0" fontId="0" fillId="2" borderId="120" xfId="0" applyFill="1" applyBorder="1" applyAlignment="1">
      <alignment horizontal="right" indent="1"/>
    </xf>
    <xf numFmtId="164" fontId="0" fillId="5" borderId="120" xfId="0" applyNumberFormat="1" applyFill="1" applyBorder="1" applyAlignment="1">
      <alignment horizontal="left" indent="1"/>
    </xf>
    <xf numFmtId="0" fontId="0" fillId="10" borderId="120" xfId="0" applyFill="1" applyBorder="1" applyAlignment="1">
      <alignment horizontal="center"/>
    </xf>
    <xf numFmtId="0" fontId="0" fillId="6" borderId="61" xfId="0" applyFill="1" applyBorder="1" applyAlignment="1">
      <alignment horizontal="right" vertical="center" indent="1"/>
    </xf>
    <xf numFmtId="0" fontId="0" fillId="6" borderId="62" xfId="0" applyFill="1" applyBorder="1" applyAlignment="1">
      <alignment horizontal="right" vertical="center" indent="1"/>
    </xf>
    <xf numFmtId="0" fontId="0" fillId="6" borderId="77" xfId="0" applyFill="1" applyBorder="1" applyAlignment="1">
      <alignment horizontal="right" vertical="center" indent="1"/>
    </xf>
    <xf numFmtId="164" fontId="0" fillId="6" borderId="104" xfId="0" applyNumberFormat="1" applyFill="1" applyBorder="1" applyAlignment="1">
      <alignment horizontal="left" vertical="center" indent="1"/>
    </xf>
    <xf numFmtId="164" fontId="0" fillId="2" borderId="120" xfId="0" applyNumberFormat="1" applyFill="1" applyBorder="1" applyAlignment="1">
      <alignment horizontal="left" indent="1"/>
    </xf>
    <xf numFmtId="0" fontId="6" fillId="3" borderId="43"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0" fillId="2" borderId="62" xfId="0" applyFill="1" applyBorder="1" applyAlignment="1">
      <alignment vertical="center" wrapText="1"/>
    </xf>
    <xf numFmtId="164" fontId="0" fillId="5" borderId="46" xfId="0" applyNumberFormat="1" applyFill="1" applyBorder="1" applyAlignment="1">
      <alignment horizontal="left" indent="1"/>
    </xf>
    <xf numFmtId="164" fontId="0" fillId="5" borderId="47" xfId="0" applyNumberFormat="1" applyFill="1" applyBorder="1" applyAlignment="1">
      <alignment horizontal="left" indent="1"/>
    </xf>
    <xf numFmtId="164" fontId="0" fillId="5" borderId="48" xfId="0" applyNumberFormat="1" applyFill="1" applyBorder="1" applyAlignment="1">
      <alignment horizontal="left" indent="1"/>
    </xf>
    <xf numFmtId="0" fontId="4" fillId="3" borderId="8" xfId="0" applyFont="1" applyFill="1" applyBorder="1" applyAlignment="1">
      <alignment horizontal="center" vertical="center"/>
    </xf>
    <xf numFmtId="0" fontId="4" fillId="3" borderId="135" xfId="0" applyFont="1" applyFill="1" applyBorder="1" applyAlignment="1">
      <alignment horizontal="center" vertical="center"/>
    </xf>
    <xf numFmtId="0" fontId="4" fillId="3" borderId="22" xfId="0" applyFont="1" applyFill="1" applyBorder="1" applyAlignment="1">
      <alignment horizontal="center" vertical="center"/>
    </xf>
    <xf numFmtId="0" fontId="0" fillId="2" borderId="22" xfId="0" applyFill="1" applyBorder="1" applyAlignment="1">
      <alignment horizontal="right" indent="1"/>
    </xf>
    <xf numFmtId="0" fontId="0" fillId="2" borderId="0" xfId="0" applyFill="1" applyAlignment="1">
      <alignment horizontal="right" indent="1"/>
    </xf>
    <xf numFmtId="0" fontId="0" fillId="2" borderId="5" xfId="0" applyFill="1" applyBorder="1" applyAlignment="1">
      <alignment horizontal="right" indent="1"/>
    </xf>
    <xf numFmtId="0" fontId="0" fillId="2" borderId="6" xfId="0" applyFill="1" applyBorder="1" applyAlignment="1">
      <alignment horizontal="right" indent="1"/>
    </xf>
    <xf numFmtId="0" fontId="2" fillId="10" borderId="10" xfId="0" applyFont="1" applyFill="1" applyBorder="1" applyAlignment="1">
      <alignment horizontal="left" vertical="center" indent="3"/>
    </xf>
    <xf numFmtId="0" fontId="2" fillId="10" borderId="3" xfId="0" applyFont="1" applyFill="1" applyBorder="1" applyAlignment="1">
      <alignment horizontal="left" vertical="center" indent="3"/>
    </xf>
    <xf numFmtId="0" fontId="2" fillId="10" borderId="4" xfId="0" applyFont="1" applyFill="1" applyBorder="1" applyAlignment="1">
      <alignment horizontal="left" vertical="center" indent="3"/>
    </xf>
    <xf numFmtId="0" fontId="2" fillId="10" borderId="13" xfId="0" applyFont="1" applyFill="1" applyBorder="1" applyAlignment="1">
      <alignment horizontal="left" vertical="center" indent="3"/>
    </xf>
    <xf numFmtId="0" fontId="2" fillId="10" borderId="6" xfId="0" applyFont="1" applyFill="1" applyBorder="1" applyAlignment="1">
      <alignment horizontal="left" vertical="center" indent="3"/>
    </xf>
    <xf numFmtId="0" fontId="2" fillId="10" borderId="7" xfId="0" applyFont="1" applyFill="1" applyBorder="1" applyAlignment="1">
      <alignment horizontal="left" vertical="center" indent="3"/>
    </xf>
    <xf numFmtId="10" fontId="0" fillId="6" borderId="101" xfId="0" applyNumberFormat="1" applyFill="1" applyBorder="1" applyAlignment="1">
      <alignment horizontal="left" indent="1"/>
    </xf>
    <xf numFmtId="10" fontId="0" fillId="6" borderId="95" xfId="0" applyNumberFormat="1" applyFill="1" applyBorder="1" applyAlignment="1">
      <alignment horizontal="left" indent="1"/>
    </xf>
    <xf numFmtId="10" fontId="0" fillId="6" borderId="96" xfId="0" applyNumberFormat="1" applyFill="1" applyBorder="1" applyAlignment="1">
      <alignment horizontal="left" indent="1"/>
    </xf>
    <xf numFmtId="0" fontId="13" fillId="2" borderId="0" xfId="0" applyFont="1" applyFill="1" applyAlignment="1">
      <alignment horizontal="center" vertical="top"/>
    </xf>
    <xf numFmtId="0" fontId="4" fillId="3" borderId="11" xfId="0" applyFont="1" applyFill="1" applyBorder="1" applyAlignment="1">
      <alignment horizontal="center" vertical="center"/>
    </xf>
    <xf numFmtId="0" fontId="0" fillId="6" borderId="40" xfId="0" applyFill="1" applyBorder="1" applyAlignment="1">
      <alignment horizontal="center" vertical="center"/>
    </xf>
    <xf numFmtId="0" fontId="0" fillId="6" borderId="25" xfId="0" applyFill="1" applyBorder="1" applyAlignment="1">
      <alignment horizontal="center" vertical="center"/>
    </xf>
    <xf numFmtId="0" fontId="0" fillId="6" borderId="114" xfId="0" applyFill="1" applyBorder="1" applyAlignment="1">
      <alignment horizontal="center" vertical="center"/>
    </xf>
    <xf numFmtId="164" fontId="0" fillId="6" borderId="145" xfId="0" applyNumberFormat="1" applyFill="1" applyBorder="1" applyAlignment="1">
      <alignment horizontal="left" vertical="center" indent="1"/>
    </xf>
    <xf numFmtId="0" fontId="0" fillId="0" borderId="25" xfId="0" applyBorder="1" applyAlignment="1">
      <alignment horizontal="left" vertical="center" indent="1"/>
    </xf>
    <xf numFmtId="0" fontId="0" fillId="0" borderId="26" xfId="0" applyBorder="1" applyAlignment="1">
      <alignment horizontal="left" vertical="center" indent="1"/>
    </xf>
    <xf numFmtId="10" fontId="0" fillId="6" borderId="104" xfId="0" applyNumberFormat="1" applyFill="1" applyBorder="1" applyAlignment="1">
      <alignment horizontal="right" vertical="center" indent="1"/>
    </xf>
    <xf numFmtId="0" fontId="0" fillId="0" borderId="23" xfId="0" applyBorder="1" applyAlignment="1">
      <alignment horizontal="right" vertical="center" indent="1"/>
    </xf>
    <xf numFmtId="0" fontId="0" fillId="0" borderId="24" xfId="0" applyBorder="1" applyAlignment="1">
      <alignment horizontal="right" vertical="center" indent="1"/>
    </xf>
    <xf numFmtId="0" fontId="0" fillId="10" borderId="120" xfId="0" applyFill="1" applyBorder="1" applyAlignment="1">
      <alignment horizontal="right" indent="1"/>
    </xf>
    <xf numFmtId="164" fontId="35" fillId="10" borderId="120" xfId="0" applyNumberFormat="1" applyFont="1" applyFill="1" applyBorder="1" applyAlignment="1">
      <alignment horizontal="left" indent="1"/>
    </xf>
    <xf numFmtId="10" fontId="0" fillId="5" borderId="120" xfId="0" applyNumberFormat="1" applyFill="1" applyBorder="1" applyAlignment="1">
      <alignment horizontal="left" indent="1"/>
    </xf>
    <xf numFmtId="166" fontId="0" fillId="5" borderId="120" xfId="0" applyNumberFormat="1" applyFill="1" applyBorder="1" applyAlignment="1">
      <alignment horizontal="left" indent="1"/>
    </xf>
    <xf numFmtId="167" fontId="0" fillId="5" borderId="120" xfId="0" applyNumberFormat="1" applyFill="1" applyBorder="1" applyAlignment="1">
      <alignment horizontal="left" indent="1"/>
    </xf>
    <xf numFmtId="0" fontId="15" fillId="2" borderId="21" xfId="0" applyFont="1" applyFill="1" applyBorder="1" applyAlignment="1">
      <alignment horizontal="right" indent="1"/>
    </xf>
    <xf numFmtId="0" fontId="0" fillId="2" borderId="20" xfId="0" applyFill="1" applyBorder="1" applyAlignment="1">
      <alignment horizontal="right" indent="1"/>
    </xf>
    <xf numFmtId="0" fontId="0" fillId="2" borderId="21" xfId="0" applyFill="1" applyBorder="1" applyAlignment="1">
      <alignment horizontal="right" indent="1"/>
    </xf>
    <xf numFmtId="0" fontId="2" fillId="2" borderId="18" xfId="0" applyFont="1" applyFill="1" applyBorder="1" applyAlignment="1">
      <alignment horizontal="left" vertical="center" indent="1"/>
    </xf>
    <xf numFmtId="164" fontId="0" fillId="2" borderId="49" xfId="0" applyNumberFormat="1" applyFill="1" applyBorder="1" applyAlignment="1">
      <alignment horizontal="left" vertical="center" indent="1"/>
    </xf>
    <xf numFmtId="164" fontId="0" fillId="2" borderId="50" xfId="0" applyNumberFormat="1" applyFill="1" applyBorder="1" applyAlignment="1">
      <alignment horizontal="left" vertical="center" indent="1"/>
    </xf>
    <xf numFmtId="164" fontId="0" fillId="2" borderId="51" xfId="0" applyNumberFormat="1" applyFill="1" applyBorder="1" applyAlignment="1">
      <alignment horizontal="left" vertical="center" indent="1"/>
    </xf>
    <xf numFmtId="0" fontId="22" fillId="3" borderId="3" xfId="0" applyFont="1" applyFill="1" applyBorder="1" applyAlignment="1">
      <alignment horizontal="center" vertical="center"/>
    </xf>
    <xf numFmtId="0" fontId="22" fillId="3" borderId="6" xfId="0" applyFont="1" applyFill="1" applyBorder="1" applyAlignment="1">
      <alignment horizontal="center" vertical="center"/>
    </xf>
    <xf numFmtId="168" fontId="2" fillId="5" borderId="3" xfId="0" applyNumberFormat="1" applyFont="1" applyFill="1" applyBorder="1" applyAlignment="1">
      <alignment horizontal="center" vertical="center"/>
    </xf>
    <xf numFmtId="168" fontId="2" fillId="5" borderId="4" xfId="0" applyNumberFormat="1" applyFont="1" applyFill="1" applyBorder="1" applyAlignment="1">
      <alignment horizontal="center" vertical="center"/>
    </xf>
    <xf numFmtId="168" fontId="2" fillId="5" borderId="6" xfId="0" applyNumberFormat="1" applyFont="1" applyFill="1" applyBorder="1" applyAlignment="1">
      <alignment horizontal="center" vertical="center"/>
    </xf>
    <xf numFmtId="168" fontId="2" fillId="5" borderId="7" xfId="0" applyNumberFormat="1" applyFont="1" applyFill="1" applyBorder="1" applyAlignment="1">
      <alignment horizontal="center" vertical="center"/>
    </xf>
    <xf numFmtId="0" fontId="2" fillId="10" borderId="10" xfId="0" applyFont="1" applyFill="1" applyBorder="1" applyAlignment="1">
      <alignment horizontal="left" vertical="center" indent="2"/>
    </xf>
    <xf numFmtId="0" fontId="2" fillId="10" borderId="3" xfId="0" applyFont="1" applyFill="1" applyBorder="1" applyAlignment="1">
      <alignment horizontal="left" vertical="center" indent="2"/>
    </xf>
    <xf numFmtId="0" fontId="2" fillId="10" borderId="105" xfId="0" applyFont="1" applyFill="1" applyBorder="1" applyAlignment="1">
      <alignment horizontal="left" vertical="center" indent="2"/>
    </xf>
    <xf numFmtId="0" fontId="2" fillId="10" borderId="13" xfId="0" applyFont="1" applyFill="1" applyBorder="1" applyAlignment="1">
      <alignment horizontal="left" vertical="center" indent="2"/>
    </xf>
    <xf numFmtId="0" fontId="2" fillId="10" borderId="6" xfId="0" applyFont="1" applyFill="1" applyBorder="1" applyAlignment="1">
      <alignment horizontal="left" vertical="center" indent="2"/>
    </xf>
    <xf numFmtId="0" fontId="2" fillId="10" borderId="106" xfId="0" applyFont="1" applyFill="1" applyBorder="1" applyAlignment="1">
      <alignment horizontal="left" vertical="center" indent="2"/>
    </xf>
    <xf numFmtId="0" fontId="35" fillId="10" borderId="117" xfId="0" applyFont="1" applyFill="1" applyBorder="1" applyAlignment="1">
      <alignment horizontal="right" indent="1"/>
    </xf>
    <xf numFmtId="0" fontId="35" fillId="10" borderId="118" xfId="0" applyFont="1" applyFill="1" applyBorder="1" applyAlignment="1">
      <alignment horizontal="right" indent="1"/>
    </xf>
    <xf numFmtId="0" fontId="35" fillId="10" borderId="119" xfId="0" applyFont="1" applyFill="1" applyBorder="1" applyAlignment="1">
      <alignment horizontal="right" indent="1"/>
    </xf>
    <xf numFmtId="0" fontId="6" fillId="3" borderId="117" xfId="0" applyFont="1" applyFill="1" applyBorder="1" applyAlignment="1">
      <alignment horizontal="right" indent="1"/>
    </xf>
    <xf numFmtId="0" fontId="6" fillId="3" borderId="118" xfId="0" applyFont="1" applyFill="1" applyBorder="1" applyAlignment="1">
      <alignment horizontal="right" indent="1"/>
    </xf>
    <xf numFmtId="0" fontId="6" fillId="3" borderId="119" xfId="0" applyFont="1" applyFill="1" applyBorder="1" applyAlignment="1">
      <alignment horizontal="right" indent="1"/>
    </xf>
    <xf numFmtId="164" fontId="35" fillId="10" borderId="117" xfId="0" applyNumberFormat="1" applyFont="1" applyFill="1" applyBorder="1" applyAlignment="1">
      <alignment horizontal="left" indent="1"/>
    </xf>
    <xf numFmtId="164" fontId="35" fillId="10" borderId="118" xfId="0" applyNumberFormat="1" applyFont="1" applyFill="1" applyBorder="1" applyAlignment="1">
      <alignment horizontal="left" indent="1"/>
    </xf>
    <xf numFmtId="164" fontId="35" fillId="10" borderId="119" xfId="0" applyNumberFormat="1" applyFont="1" applyFill="1" applyBorder="1" applyAlignment="1">
      <alignment horizontal="left" indent="1"/>
    </xf>
    <xf numFmtId="164" fontId="0" fillId="2" borderId="117" xfId="0" applyNumberFormat="1" applyFill="1" applyBorder="1" applyAlignment="1">
      <alignment horizontal="left" indent="1"/>
    </xf>
    <xf numFmtId="164" fontId="0" fillId="2" borderId="118" xfId="0" applyNumberFormat="1" applyFill="1" applyBorder="1" applyAlignment="1">
      <alignment horizontal="left" indent="1"/>
    </xf>
    <xf numFmtId="164" fontId="0" fillId="2" borderId="119" xfId="0" applyNumberFormat="1" applyFill="1" applyBorder="1" applyAlignment="1">
      <alignment horizontal="left" indent="1"/>
    </xf>
    <xf numFmtId="164" fontId="35" fillId="10" borderId="18" xfId="0" applyNumberFormat="1" applyFont="1" applyFill="1" applyBorder="1" applyAlignment="1">
      <alignment horizontal="left" indent="1"/>
    </xf>
    <xf numFmtId="164" fontId="35" fillId="10" borderId="19" xfId="0" applyNumberFormat="1" applyFont="1" applyFill="1" applyBorder="1" applyAlignment="1">
      <alignment horizontal="left" indent="1"/>
    </xf>
    <xf numFmtId="0" fontId="6" fillId="3" borderId="59" xfId="0" applyFont="1" applyFill="1" applyBorder="1" applyAlignment="1">
      <alignment horizontal="center" vertical="center" wrapText="1"/>
    </xf>
    <xf numFmtId="0" fontId="6" fillId="3" borderId="62" xfId="0" applyFont="1" applyFill="1" applyBorder="1" applyAlignment="1">
      <alignment horizontal="center" vertical="center" wrapText="1"/>
    </xf>
    <xf numFmtId="164" fontId="0" fillId="2" borderId="21" xfId="0" applyNumberFormat="1" applyFill="1" applyBorder="1" applyAlignment="1">
      <alignment horizontal="left" indent="1"/>
    </xf>
    <xf numFmtId="0" fontId="12" fillId="3" borderId="22" xfId="0" applyFont="1" applyFill="1" applyBorder="1" applyAlignment="1">
      <alignment horizontal="right" indent="1"/>
    </xf>
    <xf numFmtId="0" fontId="12" fillId="3" borderId="0" xfId="0" applyFont="1" applyFill="1" applyAlignment="1">
      <alignment horizontal="right" indent="1"/>
    </xf>
    <xf numFmtId="0" fontId="4" fillId="3" borderId="55" xfId="0" applyFont="1" applyFill="1" applyBorder="1" applyAlignment="1">
      <alignment horizontal="center" vertical="center"/>
    </xf>
    <xf numFmtId="0" fontId="4" fillId="3" borderId="85" xfId="0" applyFont="1" applyFill="1" applyBorder="1" applyAlignment="1">
      <alignment horizontal="center" vertical="center"/>
    </xf>
    <xf numFmtId="0" fontId="2" fillId="2" borderId="86" xfId="0" applyFont="1" applyFill="1" applyBorder="1" applyAlignment="1">
      <alignment horizontal="center" vertical="center"/>
    </xf>
    <xf numFmtId="0" fontId="2" fillId="2" borderId="87" xfId="0" applyFont="1" applyFill="1" applyBorder="1" applyAlignment="1">
      <alignment horizontal="center" vertical="center"/>
    </xf>
    <xf numFmtId="0" fontId="2" fillId="2" borderId="88" xfId="0" applyFont="1" applyFill="1" applyBorder="1" applyAlignment="1">
      <alignment horizontal="center" vertical="center"/>
    </xf>
    <xf numFmtId="49" fontId="4" fillId="3" borderId="2" xfId="0" applyNumberFormat="1" applyFont="1" applyFill="1" applyBorder="1" applyAlignment="1">
      <alignment horizontal="center" vertical="center"/>
    </xf>
    <xf numFmtId="49" fontId="4" fillId="3" borderId="5" xfId="0" applyNumberFormat="1" applyFont="1" applyFill="1" applyBorder="1" applyAlignment="1">
      <alignment horizontal="center" vertical="center"/>
    </xf>
    <xf numFmtId="0" fontId="0" fillId="0" borderId="59" xfId="0" applyBorder="1" applyAlignment="1">
      <alignment vertical="center"/>
    </xf>
    <xf numFmtId="0" fontId="0" fillId="0" borderId="62" xfId="0" applyBorder="1" applyAlignment="1">
      <alignment vertical="center"/>
    </xf>
    <xf numFmtId="164" fontId="0" fillId="2" borderId="62" xfId="0" applyNumberFormat="1" applyFill="1" applyBorder="1" applyAlignment="1">
      <alignment vertical="center" wrapText="1"/>
    </xf>
    <xf numFmtId="164" fontId="0" fillId="0" borderId="62" xfId="0" applyNumberFormat="1" applyBorder="1" applyAlignment="1">
      <alignment vertical="center" wrapText="1"/>
    </xf>
    <xf numFmtId="0" fontId="0" fillId="0" borderId="62" xfId="0" applyBorder="1" applyAlignment="1">
      <alignment vertical="center" wrapText="1"/>
    </xf>
    <xf numFmtId="164" fontId="0" fillId="2" borderId="62" xfId="0" applyNumberFormat="1" applyFill="1" applyBorder="1" applyAlignment="1">
      <alignment horizontal="center" vertical="center" wrapText="1"/>
    </xf>
    <xf numFmtId="164" fontId="0" fillId="0" borderId="62" xfId="0" applyNumberFormat="1" applyBorder="1" applyAlignment="1">
      <alignment horizontal="center" vertical="center" wrapText="1"/>
    </xf>
    <xf numFmtId="0" fontId="0" fillId="2" borderId="2" xfId="0" applyFill="1" applyBorder="1" applyAlignment="1">
      <alignment horizontal="right" indent="1"/>
    </xf>
    <xf numFmtId="0" fontId="0" fillId="2" borderId="3" xfId="0" applyFill="1" applyBorder="1" applyAlignment="1">
      <alignment horizontal="right" indent="1"/>
    </xf>
    <xf numFmtId="164" fontId="0" fillId="5" borderId="40" xfId="0" applyNumberFormat="1" applyFill="1" applyBorder="1" applyAlignment="1">
      <alignment horizontal="left" indent="1"/>
    </xf>
    <xf numFmtId="164" fontId="0" fillId="5" borderId="25" xfId="0" applyNumberFormat="1" applyFill="1" applyBorder="1" applyAlignment="1">
      <alignment horizontal="left" indent="1"/>
    </xf>
    <xf numFmtId="164" fontId="0" fillId="5" borderId="26" xfId="0" applyNumberFormat="1" applyFill="1" applyBorder="1" applyAlignment="1">
      <alignment horizontal="left" indent="1"/>
    </xf>
    <xf numFmtId="164" fontId="0" fillId="5" borderId="41" xfId="0" applyNumberFormat="1" applyFill="1" applyBorder="1" applyAlignment="1">
      <alignment horizontal="left" indent="1"/>
    </xf>
    <xf numFmtId="164" fontId="0" fillId="5" borderId="23" xfId="0" applyNumberFormat="1" applyFill="1" applyBorder="1" applyAlignment="1">
      <alignment horizontal="left" indent="1"/>
    </xf>
    <xf numFmtId="164" fontId="0" fillId="5" borderId="24" xfId="0" applyNumberFormat="1" applyFill="1" applyBorder="1" applyAlignment="1">
      <alignment horizontal="left" indent="1"/>
    </xf>
    <xf numFmtId="0" fontId="12" fillId="3" borderId="49" xfId="0" applyFont="1" applyFill="1" applyBorder="1" applyAlignment="1">
      <alignment horizontal="right" vertical="center"/>
    </xf>
    <xf numFmtId="0" fontId="12" fillId="3" borderId="50" xfId="0" applyFont="1" applyFill="1" applyBorder="1" applyAlignment="1">
      <alignment horizontal="right" vertical="center"/>
    </xf>
    <xf numFmtId="0" fontId="6" fillId="3" borderId="67" xfId="0" applyFont="1" applyFill="1" applyBorder="1" applyAlignment="1">
      <alignment horizontal="left" vertical="center" wrapText="1"/>
    </xf>
    <xf numFmtId="0" fontId="6" fillId="3" borderId="68" xfId="0" applyFont="1" applyFill="1" applyBorder="1" applyAlignment="1">
      <alignment horizontal="left" vertical="center"/>
    </xf>
    <xf numFmtId="164" fontId="12" fillId="3" borderId="68" xfId="0" applyNumberFormat="1" applyFont="1" applyFill="1" applyBorder="1" applyAlignment="1">
      <alignment horizontal="center" vertical="center" wrapText="1"/>
    </xf>
    <xf numFmtId="164" fontId="12" fillId="3" borderId="68" xfId="0" applyNumberFormat="1" applyFont="1" applyFill="1" applyBorder="1" applyAlignment="1">
      <alignment vertical="center" wrapText="1"/>
    </xf>
    <xf numFmtId="10" fontId="12" fillId="3" borderId="68" xfId="0" applyNumberFormat="1" applyFont="1" applyFill="1" applyBorder="1" applyAlignment="1">
      <alignment horizontal="center" vertical="center" wrapText="1"/>
    </xf>
    <xf numFmtId="0" fontId="12" fillId="3" borderId="68" xfId="0" applyFont="1" applyFill="1" applyBorder="1" applyAlignment="1">
      <alignment horizontal="center" vertical="center" wrapText="1"/>
    </xf>
    <xf numFmtId="0" fontId="2" fillId="10" borderId="53" xfId="0" applyFont="1" applyFill="1" applyBorder="1" applyAlignment="1">
      <alignment horizontal="left" vertical="center" indent="3"/>
    </xf>
    <xf numFmtId="0" fontId="2" fillId="10" borderId="29" xfId="0" applyFont="1" applyFill="1" applyBorder="1" applyAlignment="1">
      <alignment horizontal="left" vertical="center" indent="3"/>
    </xf>
    <xf numFmtId="0" fontId="2" fillId="10" borderId="30" xfId="0" applyFont="1" applyFill="1" applyBorder="1" applyAlignment="1">
      <alignment horizontal="left" vertical="center" indent="3"/>
    </xf>
    <xf numFmtId="0" fontId="2" fillId="10" borderId="54" xfId="0" applyFont="1" applyFill="1" applyBorder="1" applyAlignment="1">
      <alignment horizontal="left" vertical="center" indent="3"/>
    </xf>
    <xf numFmtId="0" fontId="2" fillId="10" borderId="31" xfId="0" applyFont="1" applyFill="1" applyBorder="1" applyAlignment="1">
      <alignment horizontal="left" vertical="center" indent="3"/>
    </xf>
    <xf numFmtId="0" fontId="2" fillId="10" borderId="32" xfId="0" applyFont="1" applyFill="1" applyBorder="1" applyAlignment="1">
      <alignment horizontal="left" vertical="center" indent="3"/>
    </xf>
    <xf numFmtId="0" fontId="6" fillId="3" borderId="70" xfId="0" applyFont="1" applyFill="1" applyBorder="1" applyAlignment="1">
      <alignment horizontal="left" vertical="center" wrapText="1"/>
    </xf>
    <xf numFmtId="0" fontId="6" fillId="3" borderId="59" xfId="0" applyFont="1" applyFill="1" applyBorder="1" applyAlignment="1">
      <alignment horizontal="left" vertical="center" wrapText="1"/>
    </xf>
    <xf numFmtId="0" fontId="6" fillId="3" borderId="71" xfId="0" applyFont="1" applyFill="1" applyBorder="1" applyAlignment="1">
      <alignment horizontal="left" vertical="center" wrapText="1"/>
    </xf>
    <xf numFmtId="0" fontId="6" fillId="3" borderId="62" xfId="0" applyFont="1" applyFill="1" applyBorder="1" applyAlignment="1">
      <alignment horizontal="left" vertical="center" wrapText="1"/>
    </xf>
    <xf numFmtId="0" fontId="6" fillId="3" borderId="40" xfId="0" applyFont="1" applyFill="1" applyBorder="1" applyAlignment="1">
      <alignment horizontal="center" vertical="center" wrapText="1"/>
    </xf>
    <xf numFmtId="0" fontId="1" fillId="2" borderId="0" xfId="0" applyFont="1" applyFill="1" applyAlignment="1">
      <alignment horizontal="center"/>
    </xf>
    <xf numFmtId="10" fontId="0" fillId="2" borderId="62" xfId="0" applyNumberFormat="1" applyFill="1" applyBorder="1" applyAlignment="1">
      <alignment horizontal="center" vertical="center" wrapText="1"/>
    </xf>
    <xf numFmtId="164" fontId="0" fillId="4" borderId="62" xfId="0" applyNumberFormat="1" applyFill="1" applyBorder="1" applyAlignment="1">
      <alignment vertical="center" wrapText="1"/>
    </xf>
    <xf numFmtId="10" fontId="0" fillId="0" borderId="62" xfId="0" applyNumberFormat="1" applyBorder="1" applyAlignment="1">
      <alignment horizontal="center" vertical="center" wrapText="1"/>
    </xf>
    <xf numFmtId="0" fontId="0" fillId="2" borderId="62" xfId="0" applyFill="1" applyBorder="1" applyAlignment="1">
      <alignment horizontal="center" vertical="center" wrapText="1"/>
    </xf>
    <xf numFmtId="9" fontId="0" fillId="4" borderId="62" xfId="0" applyNumberFormat="1" applyFill="1" applyBorder="1" applyAlignment="1">
      <alignment horizontal="center" vertical="center"/>
    </xf>
    <xf numFmtId="9" fontId="0" fillId="4" borderId="65" xfId="0" applyNumberFormat="1" applyFill="1" applyBorder="1" applyAlignment="1">
      <alignment horizontal="center" vertical="center"/>
    </xf>
    <xf numFmtId="9" fontId="12" fillId="3" borderId="68" xfId="0" applyNumberFormat="1" applyFont="1" applyFill="1" applyBorder="1" applyAlignment="1">
      <alignment horizontal="center" vertical="center"/>
    </xf>
    <xf numFmtId="9" fontId="12" fillId="3" borderId="69" xfId="0" applyNumberFormat="1" applyFont="1" applyFill="1" applyBorder="1" applyAlignment="1">
      <alignment horizontal="center" vertical="center"/>
    </xf>
    <xf numFmtId="164" fontId="0" fillId="9" borderId="102" xfId="0" applyNumberFormat="1" applyFill="1" applyBorder="1" applyAlignment="1">
      <alignment horizontal="left" indent="1"/>
    </xf>
    <xf numFmtId="164" fontId="0" fillId="9" borderId="92" xfId="0" applyNumberFormat="1" applyFill="1" applyBorder="1" applyAlignment="1">
      <alignment horizontal="left" indent="1"/>
    </xf>
    <xf numFmtId="164" fontId="0" fillId="9" borderId="93" xfId="0" applyNumberFormat="1" applyFill="1" applyBorder="1" applyAlignment="1">
      <alignment horizontal="left" indent="1"/>
    </xf>
    <xf numFmtId="164" fontId="0" fillId="9" borderId="100" xfId="0" applyNumberFormat="1" applyFill="1" applyBorder="1" applyAlignment="1">
      <alignment horizontal="left" indent="1"/>
    </xf>
    <xf numFmtId="164" fontId="0" fillId="9" borderId="62" xfId="0" applyNumberFormat="1" applyFill="1" applyBorder="1" applyAlignment="1">
      <alignment horizontal="left" indent="1"/>
    </xf>
    <xf numFmtId="164" fontId="0" fillId="9" borderId="63" xfId="0" applyNumberFormat="1" applyFill="1" applyBorder="1" applyAlignment="1">
      <alignment horizontal="left" indent="1"/>
    </xf>
    <xf numFmtId="10" fontId="0" fillId="9" borderId="101" xfId="0" applyNumberFormat="1" applyFill="1" applyBorder="1" applyAlignment="1">
      <alignment horizontal="left" indent="1"/>
    </xf>
    <xf numFmtId="10" fontId="0" fillId="9" borderId="95" xfId="0" applyNumberFormat="1" applyFill="1" applyBorder="1" applyAlignment="1">
      <alignment horizontal="left" indent="1"/>
    </xf>
    <xf numFmtId="10" fontId="0" fillId="9" borderId="96" xfId="0" applyNumberFormat="1" applyFill="1" applyBorder="1" applyAlignment="1">
      <alignment horizontal="left" indent="1"/>
    </xf>
    <xf numFmtId="164" fontId="0" fillId="7" borderId="102" xfId="0" applyNumberFormat="1" applyFill="1" applyBorder="1" applyAlignment="1">
      <alignment horizontal="left" indent="1"/>
    </xf>
    <xf numFmtId="164" fontId="0" fillId="7" borderId="92" xfId="0" applyNumberFormat="1" applyFill="1" applyBorder="1" applyAlignment="1">
      <alignment horizontal="left" indent="1"/>
    </xf>
    <xf numFmtId="164" fontId="0" fillId="7" borderId="93" xfId="0" applyNumberFormat="1" applyFill="1" applyBorder="1" applyAlignment="1">
      <alignment horizontal="left" indent="1"/>
    </xf>
    <xf numFmtId="164" fontId="0" fillId="7" borderId="100" xfId="0" applyNumberFormat="1" applyFill="1" applyBorder="1" applyAlignment="1">
      <alignment horizontal="left" indent="1"/>
    </xf>
    <xf numFmtId="164" fontId="0" fillId="7" borderId="62" xfId="0" applyNumberFormat="1" applyFill="1" applyBorder="1" applyAlignment="1">
      <alignment horizontal="left" indent="1"/>
    </xf>
    <xf numFmtId="164" fontId="0" fillId="7" borderId="63" xfId="0" applyNumberFormat="1" applyFill="1" applyBorder="1" applyAlignment="1">
      <alignment horizontal="left" indent="1"/>
    </xf>
    <xf numFmtId="10" fontId="0" fillId="7" borderId="101" xfId="0" applyNumberFormat="1" applyFill="1" applyBorder="1" applyAlignment="1">
      <alignment horizontal="left" indent="1"/>
    </xf>
    <xf numFmtId="10" fontId="0" fillId="7" borderId="95" xfId="0" applyNumberFormat="1" applyFill="1" applyBorder="1" applyAlignment="1">
      <alignment horizontal="left" indent="1"/>
    </xf>
    <xf numFmtId="10" fontId="0" fillId="7" borderId="96" xfId="0" applyNumberFormat="1" applyFill="1" applyBorder="1" applyAlignment="1">
      <alignment horizontal="left" indent="1"/>
    </xf>
    <xf numFmtId="10" fontId="0" fillId="4" borderId="102" xfId="0" applyNumberFormat="1" applyFill="1" applyBorder="1" applyAlignment="1">
      <alignment horizontal="left" indent="1"/>
    </xf>
    <xf numFmtId="10" fontId="0" fillId="4" borderId="92" xfId="0" applyNumberFormat="1" applyFill="1" applyBorder="1" applyAlignment="1">
      <alignment horizontal="left" indent="1"/>
    </xf>
    <xf numFmtId="10" fontId="0" fillId="4" borderId="93" xfId="0" applyNumberFormat="1" applyFill="1" applyBorder="1" applyAlignment="1">
      <alignment horizontal="left" indent="1"/>
    </xf>
    <xf numFmtId="10" fontId="0" fillId="4" borderId="103" xfId="0" applyNumberFormat="1" applyFill="1" applyBorder="1" applyAlignment="1">
      <alignment horizontal="left" indent="1"/>
    </xf>
    <xf numFmtId="10" fontId="0" fillId="4" borderId="65" xfId="0" applyNumberFormat="1" applyFill="1" applyBorder="1" applyAlignment="1">
      <alignment horizontal="left" indent="1"/>
    </xf>
    <xf numFmtId="10" fontId="0" fillId="4" borderId="66" xfId="0" applyNumberFormat="1" applyFill="1" applyBorder="1" applyAlignment="1">
      <alignment horizontal="left" indent="1"/>
    </xf>
    <xf numFmtId="168" fontId="0" fillId="5" borderId="41" xfId="0" applyNumberFormat="1" applyFill="1" applyBorder="1" applyAlignment="1">
      <alignment horizontal="left" indent="1"/>
    </xf>
    <xf numFmtId="168" fontId="0" fillId="5" borderId="23" xfId="0" applyNumberFormat="1" applyFill="1" applyBorder="1" applyAlignment="1">
      <alignment horizontal="left" indent="1"/>
    </xf>
    <xf numFmtId="168" fontId="0" fillId="5" borderId="24" xfId="0" applyNumberFormat="1" applyFill="1" applyBorder="1" applyAlignment="1">
      <alignment horizontal="left" indent="1"/>
    </xf>
    <xf numFmtId="10" fontId="0" fillId="5" borderId="41" xfId="0" applyNumberFormat="1" applyFill="1" applyBorder="1" applyAlignment="1">
      <alignment horizontal="left" indent="1"/>
    </xf>
    <xf numFmtId="10" fontId="0" fillId="5" borderId="23" xfId="0" applyNumberFormat="1" applyFill="1" applyBorder="1" applyAlignment="1">
      <alignment horizontal="left" indent="1"/>
    </xf>
    <xf numFmtId="10" fontId="0" fillId="5" borderId="24" xfId="0" applyNumberFormat="1" applyFill="1" applyBorder="1" applyAlignment="1">
      <alignment horizontal="left" indent="1"/>
    </xf>
    <xf numFmtId="166" fontId="0" fillId="5" borderId="41" xfId="0" applyNumberFormat="1" applyFill="1" applyBorder="1" applyAlignment="1">
      <alignment horizontal="left" indent="1"/>
    </xf>
    <xf numFmtId="166" fontId="0" fillId="5" borderId="23" xfId="0" applyNumberFormat="1" applyFill="1" applyBorder="1" applyAlignment="1">
      <alignment horizontal="left" indent="1"/>
    </xf>
    <xf numFmtId="166" fontId="0" fillId="5" borderId="24" xfId="0" applyNumberFormat="1" applyFill="1" applyBorder="1" applyAlignment="1">
      <alignment horizontal="left" indent="1"/>
    </xf>
    <xf numFmtId="167" fontId="0" fillId="5" borderId="41" xfId="0" applyNumberFormat="1" applyFill="1" applyBorder="1" applyAlignment="1">
      <alignment horizontal="left" indent="1"/>
    </xf>
    <xf numFmtId="167" fontId="0" fillId="5" borderId="23" xfId="0" applyNumberFormat="1" applyFill="1" applyBorder="1" applyAlignment="1">
      <alignment horizontal="left" indent="1"/>
    </xf>
    <xf numFmtId="167" fontId="0" fillId="5" borderId="24" xfId="0" applyNumberFormat="1" applyFill="1" applyBorder="1" applyAlignment="1">
      <alignment horizontal="left" indent="1"/>
    </xf>
    <xf numFmtId="0" fontId="0" fillId="2" borderId="65" xfId="0" applyFill="1" applyBorder="1" applyAlignment="1">
      <alignment vertical="center" wrapText="1"/>
    </xf>
    <xf numFmtId="0" fontId="0" fillId="0" borderId="65" xfId="0" applyBorder="1" applyAlignment="1">
      <alignment vertical="center" wrapText="1"/>
    </xf>
    <xf numFmtId="0" fontId="0" fillId="0" borderId="65" xfId="0" applyBorder="1" applyAlignment="1">
      <alignment vertical="center"/>
    </xf>
    <xf numFmtId="10" fontId="0" fillId="2" borderId="65" xfId="0" applyNumberFormat="1" applyFill="1" applyBorder="1" applyAlignment="1">
      <alignment horizontal="center" vertical="center" wrapText="1"/>
    </xf>
    <xf numFmtId="10" fontId="0" fillId="0" borderId="65" xfId="0" applyNumberFormat="1" applyBorder="1" applyAlignment="1">
      <alignment horizontal="center" vertical="center" wrapText="1"/>
    </xf>
    <xf numFmtId="164" fontId="0" fillId="2" borderId="65" xfId="0" applyNumberFormat="1" applyFill="1" applyBorder="1" applyAlignment="1">
      <alignment horizontal="center" vertical="center" wrapText="1"/>
    </xf>
    <xf numFmtId="164" fontId="0" fillId="0" borderId="65" xfId="0" applyNumberFormat="1" applyBorder="1" applyAlignment="1">
      <alignment horizontal="center" vertical="center" wrapText="1"/>
    </xf>
    <xf numFmtId="164" fontId="0" fillId="2" borderId="65" xfId="0" applyNumberFormat="1" applyFill="1" applyBorder="1" applyAlignment="1">
      <alignment vertical="center" wrapText="1"/>
    </xf>
    <xf numFmtId="164" fontId="0" fillId="0" borderId="65" xfId="0" applyNumberFormat="1" applyBorder="1" applyAlignment="1">
      <alignment vertical="center" wrapText="1"/>
    </xf>
    <xf numFmtId="164" fontId="0" fillId="4" borderId="65" xfId="0" applyNumberFormat="1" applyFill="1" applyBorder="1" applyAlignment="1">
      <alignment vertical="center" wrapText="1"/>
    </xf>
    <xf numFmtId="0" fontId="0" fillId="2" borderId="65" xfId="0" applyFill="1" applyBorder="1" applyAlignment="1">
      <alignment horizontal="center" vertical="center" wrapText="1"/>
    </xf>
    <xf numFmtId="0" fontId="0" fillId="2" borderId="62" xfId="0" applyFill="1" applyBorder="1" applyAlignment="1">
      <alignment vertical="center"/>
    </xf>
    <xf numFmtId="0" fontId="0" fillId="2" borderId="63" xfId="0" applyFill="1" applyBorder="1" applyAlignment="1">
      <alignment vertical="center"/>
    </xf>
    <xf numFmtId="0" fontId="0" fillId="2" borderId="65" xfId="0" applyFill="1" applyBorder="1" applyAlignment="1">
      <alignment vertical="center"/>
    </xf>
    <xf numFmtId="0" fontId="0" fillId="2" borderId="66" xfId="0" applyFill="1" applyBorder="1" applyAlignment="1">
      <alignment vertical="center"/>
    </xf>
    <xf numFmtId="0" fontId="6" fillId="3" borderId="59" xfId="0" applyFont="1" applyFill="1" applyBorder="1" applyAlignment="1">
      <alignment horizontal="center" vertical="center"/>
    </xf>
    <xf numFmtId="0" fontId="6" fillId="3" borderId="62" xfId="0" applyFont="1" applyFill="1" applyBorder="1" applyAlignment="1">
      <alignment horizontal="center" vertical="center"/>
    </xf>
    <xf numFmtId="0" fontId="6" fillId="3" borderId="59" xfId="0" applyFont="1" applyFill="1" applyBorder="1" applyAlignment="1">
      <alignment horizontal="left" vertical="center"/>
    </xf>
    <xf numFmtId="0" fontId="6" fillId="3" borderId="60" xfId="0" applyFont="1" applyFill="1" applyBorder="1" applyAlignment="1">
      <alignment horizontal="left" vertical="center"/>
    </xf>
    <xf numFmtId="0" fontId="6" fillId="3" borderId="62" xfId="0" applyFont="1" applyFill="1" applyBorder="1" applyAlignment="1">
      <alignment horizontal="left" vertical="center"/>
    </xf>
    <xf numFmtId="0" fontId="6" fillId="3" borderId="63" xfId="0" applyFont="1" applyFill="1" applyBorder="1" applyAlignment="1">
      <alignment horizontal="left" vertical="center"/>
    </xf>
    <xf numFmtId="0" fontId="4" fillId="3" borderId="38" xfId="0" applyFont="1" applyFill="1" applyBorder="1" applyAlignment="1">
      <alignment horizontal="right" vertical="center" indent="1"/>
    </xf>
    <xf numFmtId="0" fontId="4" fillId="3" borderId="29" xfId="0" applyFont="1" applyFill="1" applyBorder="1" applyAlignment="1">
      <alignment horizontal="right" vertical="center" indent="1"/>
    </xf>
    <xf numFmtId="0" fontId="4" fillId="3" borderId="39" xfId="0" applyFont="1" applyFill="1" applyBorder="1" applyAlignment="1">
      <alignment horizontal="right" vertical="center" indent="1"/>
    </xf>
    <xf numFmtId="0" fontId="4" fillId="3" borderId="31" xfId="0" applyFont="1" applyFill="1" applyBorder="1" applyAlignment="1">
      <alignment horizontal="right" vertical="center" indent="1"/>
    </xf>
    <xf numFmtId="164" fontId="14" fillId="5" borderId="29" xfId="0" applyNumberFormat="1" applyFont="1" applyFill="1" applyBorder="1" applyAlignment="1">
      <alignment horizontal="center" vertical="center"/>
    </xf>
    <xf numFmtId="164" fontId="14" fillId="5" borderId="30" xfId="0" applyNumberFormat="1" applyFont="1" applyFill="1" applyBorder="1" applyAlignment="1">
      <alignment horizontal="center" vertical="center"/>
    </xf>
    <xf numFmtId="164" fontId="14" fillId="5" borderId="31" xfId="0" applyNumberFormat="1" applyFont="1" applyFill="1" applyBorder="1" applyAlignment="1">
      <alignment horizontal="center" vertical="center"/>
    </xf>
    <xf numFmtId="164" fontId="14" fillId="5" borderId="32" xfId="0" applyNumberFormat="1" applyFont="1" applyFill="1" applyBorder="1" applyAlignment="1">
      <alignment horizontal="center" vertical="center"/>
    </xf>
    <xf numFmtId="0" fontId="0" fillId="5" borderId="40" xfId="0" applyFill="1" applyBorder="1" applyAlignment="1">
      <alignment horizontal="left" indent="1"/>
    </xf>
    <xf numFmtId="0" fontId="0" fillId="5" borderId="25" xfId="0" applyFill="1" applyBorder="1" applyAlignment="1">
      <alignment horizontal="left" indent="1"/>
    </xf>
    <xf numFmtId="0" fontId="0" fillId="5" borderId="26" xfId="0" applyFill="1" applyBorder="1" applyAlignment="1">
      <alignment horizontal="left" indent="1"/>
    </xf>
    <xf numFmtId="164" fontId="6" fillId="3" borderId="37" xfId="0" applyNumberFormat="1" applyFont="1" applyFill="1" applyBorder="1" applyAlignment="1">
      <alignment vertical="center" wrapText="1"/>
    </xf>
    <xf numFmtId="164" fontId="6" fillId="3" borderId="35" xfId="0" applyNumberFormat="1" applyFont="1" applyFill="1" applyBorder="1" applyAlignment="1">
      <alignment vertical="center" wrapText="1"/>
    </xf>
    <xf numFmtId="164" fontId="6" fillId="3" borderId="36" xfId="0" applyNumberFormat="1" applyFont="1" applyFill="1" applyBorder="1" applyAlignment="1">
      <alignment vertical="center" wrapText="1"/>
    </xf>
    <xf numFmtId="0" fontId="0" fillId="2" borderId="34" xfId="0" applyFill="1" applyBorder="1" applyAlignment="1">
      <alignment horizontal="left" indent="1"/>
    </xf>
    <xf numFmtId="0" fontId="0" fillId="2" borderId="52" xfId="0" applyFill="1" applyBorder="1" applyAlignment="1">
      <alignment horizontal="left" indent="1"/>
    </xf>
    <xf numFmtId="164" fontId="0" fillId="5" borderId="43" xfId="0" applyNumberFormat="1" applyFill="1" applyBorder="1" applyAlignment="1">
      <alignment horizontal="left" indent="1"/>
    </xf>
    <xf numFmtId="164" fontId="0" fillId="5" borderId="44" xfId="0" applyNumberFormat="1" applyFill="1" applyBorder="1" applyAlignment="1">
      <alignment horizontal="left" indent="1"/>
    </xf>
    <xf numFmtId="164" fontId="0" fillId="5" borderId="45" xfId="0" applyNumberFormat="1" applyFill="1" applyBorder="1" applyAlignment="1">
      <alignment horizontal="left" indent="1"/>
    </xf>
    <xf numFmtId="0" fontId="0" fillId="5" borderId="42" xfId="0" applyFill="1" applyBorder="1" applyAlignment="1">
      <alignment horizontal="left" indent="1"/>
    </xf>
    <xf numFmtId="0" fontId="0" fillId="5" borderId="27" xfId="0" applyFill="1" applyBorder="1" applyAlignment="1">
      <alignment horizontal="left" indent="1"/>
    </xf>
    <xf numFmtId="0" fontId="0" fillId="5" borderId="28" xfId="0" applyFill="1" applyBorder="1" applyAlignment="1">
      <alignment horizontal="left" indent="1"/>
    </xf>
    <xf numFmtId="0" fontId="2" fillId="2" borderId="6" xfId="0" applyFont="1" applyFill="1" applyBorder="1" applyAlignment="1">
      <alignment horizontal="left" vertical="center" indent="1"/>
    </xf>
    <xf numFmtId="164" fontId="10" fillId="2" borderId="40" xfId="0" applyNumberFormat="1" applyFont="1" applyFill="1" applyBorder="1" applyAlignment="1">
      <alignment horizontal="left" indent="1"/>
    </xf>
    <xf numFmtId="164" fontId="10" fillId="2" borderId="25" xfId="0" applyNumberFormat="1" applyFont="1" applyFill="1" applyBorder="1" applyAlignment="1">
      <alignment horizontal="left" indent="1"/>
    </xf>
    <xf numFmtId="164" fontId="10" fillId="2" borderId="26" xfId="0" applyNumberFormat="1" applyFont="1" applyFill="1" applyBorder="1" applyAlignment="1">
      <alignment horizontal="left" indent="1"/>
    </xf>
    <xf numFmtId="0" fontId="6" fillId="3" borderId="49" xfId="0" applyFont="1" applyFill="1" applyBorder="1" applyAlignment="1">
      <alignment horizontal="right" indent="1"/>
    </xf>
    <xf numFmtId="0" fontId="6" fillId="3" borderId="50" xfId="0" applyFont="1" applyFill="1" applyBorder="1" applyAlignment="1">
      <alignment horizontal="right" indent="1"/>
    </xf>
    <xf numFmtId="0" fontId="2" fillId="2" borderId="136" xfId="0" applyFont="1" applyFill="1" applyBorder="1" applyAlignment="1">
      <alignment horizontal="center" vertical="center"/>
    </xf>
    <xf numFmtId="0" fontId="2" fillId="2" borderId="0" xfId="0" applyFont="1" applyFill="1" applyAlignment="1">
      <alignment horizontal="center" vertical="center"/>
    </xf>
    <xf numFmtId="0" fontId="2" fillId="2" borderId="57" xfId="0" applyFont="1" applyFill="1" applyBorder="1" applyAlignment="1">
      <alignment horizontal="center" vertical="center"/>
    </xf>
    <xf numFmtId="10" fontId="0" fillId="10" borderId="117" xfId="0" applyNumberFormat="1" applyFill="1" applyBorder="1" applyAlignment="1">
      <alignment horizontal="left" indent="1"/>
    </xf>
    <xf numFmtId="0" fontId="0" fillId="0" borderId="118" xfId="0" applyBorder="1" applyAlignment="1">
      <alignment horizontal="left" indent="1"/>
    </xf>
    <xf numFmtId="0" fontId="0" fillId="0" borderId="119" xfId="0" applyBorder="1" applyAlignment="1">
      <alignment horizontal="left" indent="1"/>
    </xf>
    <xf numFmtId="0" fontId="0" fillId="10" borderId="120" xfId="0" applyFill="1" applyBorder="1"/>
    <xf numFmtId="165" fontId="0" fillId="10" borderId="120" xfId="0" applyNumberFormat="1" applyFill="1" applyBorder="1" applyAlignment="1">
      <alignment horizontal="left" inden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7" xfId="0" applyFont="1" applyFill="1" applyBorder="1" applyAlignment="1">
      <alignment horizontal="center" vertical="center" wrapText="1"/>
    </xf>
    <xf numFmtId="164" fontId="0" fillId="2" borderId="49" xfId="0" applyNumberFormat="1" applyFill="1" applyBorder="1" applyAlignment="1">
      <alignment horizontal="left" indent="1"/>
    </xf>
    <xf numFmtId="164" fontId="0" fillId="2" borderId="50" xfId="0" applyNumberFormat="1" applyFill="1" applyBorder="1" applyAlignment="1">
      <alignment horizontal="left" indent="1"/>
    </xf>
    <xf numFmtId="164" fontId="0" fillId="2" borderId="51" xfId="0" applyNumberFormat="1" applyFill="1" applyBorder="1" applyAlignment="1">
      <alignment horizontal="left" indent="1"/>
    </xf>
    <xf numFmtId="164" fontId="0" fillId="2" borderId="78" xfId="0" applyNumberFormat="1" applyFill="1" applyBorder="1" applyAlignment="1">
      <alignment vertical="center" wrapText="1"/>
    </xf>
    <xf numFmtId="164" fontId="0" fillId="2" borderId="79" xfId="0" applyNumberFormat="1" applyFill="1" applyBorder="1" applyAlignment="1">
      <alignment vertical="center" wrapText="1"/>
    </xf>
    <xf numFmtId="0" fontId="6" fillId="3" borderId="0" xfId="0" applyFont="1" applyFill="1" applyAlignment="1">
      <alignment vertical="center" wrapText="1"/>
    </xf>
    <xf numFmtId="0" fontId="6" fillId="3" borderId="76" xfId="0" applyFont="1" applyFill="1" applyBorder="1" applyAlignment="1">
      <alignment vertical="center" wrapText="1"/>
    </xf>
    <xf numFmtId="0" fontId="6" fillId="3" borderId="44" xfId="0" applyFont="1" applyFill="1" applyBorder="1" applyAlignment="1">
      <alignment vertical="center" wrapText="1"/>
    </xf>
    <xf numFmtId="0" fontId="6" fillId="3" borderId="74" xfId="0" applyFont="1" applyFill="1" applyBorder="1" applyAlignment="1">
      <alignment vertical="center" wrapText="1"/>
    </xf>
    <xf numFmtId="0" fontId="6" fillId="3" borderId="7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75" xfId="0" applyFont="1" applyFill="1" applyBorder="1" applyAlignment="1">
      <alignment horizontal="center" vertical="center" wrapText="1"/>
    </xf>
    <xf numFmtId="0" fontId="6" fillId="3" borderId="0" xfId="0" applyFont="1" applyFill="1" applyAlignment="1">
      <alignment horizontal="center" vertical="center" wrapText="1"/>
    </xf>
    <xf numFmtId="10" fontId="0" fillId="10" borderId="120" xfId="0" applyNumberFormat="1" applyFill="1" applyBorder="1" applyAlignment="1">
      <alignment horizontal="left" indent="1"/>
    </xf>
    <xf numFmtId="0" fontId="6" fillId="3" borderId="4" xfId="0" applyFont="1" applyFill="1" applyBorder="1" applyAlignment="1">
      <alignment horizontal="center" vertical="center" wrapText="1"/>
    </xf>
    <xf numFmtId="0" fontId="6" fillId="3" borderId="57" xfId="0" applyFont="1" applyFill="1" applyBorder="1" applyAlignment="1">
      <alignment horizontal="center" vertical="center" wrapText="1"/>
    </xf>
    <xf numFmtId="0" fontId="0" fillId="2" borderId="120" xfId="0" applyFill="1" applyBorder="1" applyAlignment="1" applyProtection="1">
      <alignment horizontal="right" indent="1"/>
      <protection locked="0"/>
    </xf>
    <xf numFmtId="164" fontId="0" fillId="2" borderId="120" xfId="14" applyFont="1" applyFill="1" applyBorder="1" applyAlignment="1" applyProtection="1">
      <alignment horizontal="left" indent="1"/>
      <protection locked="0"/>
    </xf>
    <xf numFmtId="0" fontId="0" fillId="0" borderId="3" xfId="0" applyBorder="1"/>
    <xf numFmtId="0" fontId="0" fillId="0" borderId="4" xfId="0" applyBorder="1"/>
    <xf numFmtId="0" fontId="0" fillId="0" borderId="22" xfId="0" applyBorder="1"/>
    <xf numFmtId="0" fontId="0" fillId="0" borderId="0" xfId="0"/>
    <xf numFmtId="0" fontId="0" fillId="0" borderId="57" xfId="0" applyBorder="1"/>
    <xf numFmtId="0" fontId="2" fillId="2" borderId="0" xfId="0" applyFont="1" applyFill="1" applyAlignment="1">
      <alignment horizontal="left" vertical="center" indent="1"/>
    </xf>
    <xf numFmtId="164" fontId="0" fillId="2" borderId="83" xfId="0" applyNumberFormat="1" applyFill="1" applyBorder="1" applyAlignment="1">
      <alignment vertical="center" wrapText="1"/>
    </xf>
    <xf numFmtId="164" fontId="0" fillId="2" borderId="84" xfId="0" applyNumberFormat="1" applyFill="1" applyBorder="1" applyAlignment="1">
      <alignment vertical="center" wrapText="1"/>
    </xf>
    <xf numFmtId="0" fontId="23" fillId="2" borderId="22" xfId="0" applyFont="1" applyFill="1" applyBorder="1" applyAlignment="1">
      <alignment horizontal="center" vertical="center"/>
    </xf>
    <xf numFmtId="0" fontId="12" fillId="2" borderId="0" xfId="0" applyFont="1" applyFill="1" applyAlignment="1">
      <alignment horizontal="center" vertical="center"/>
    </xf>
    <xf numFmtId="0" fontId="23" fillId="2" borderId="111" xfId="0" applyFont="1" applyFill="1" applyBorder="1" applyAlignment="1">
      <alignment horizontal="center" vertical="center"/>
    </xf>
    <xf numFmtId="0" fontId="12" fillId="2" borderId="112" xfId="0" applyFont="1" applyFill="1" applyBorder="1" applyAlignment="1">
      <alignment horizontal="center" vertical="center"/>
    </xf>
    <xf numFmtId="0" fontId="0" fillId="2" borderId="0" xfId="0" applyFill="1" applyAlignment="1">
      <alignment horizontal="center" vertical="center"/>
    </xf>
    <xf numFmtId="164" fontId="6" fillId="3" borderId="81" xfId="0" applyNumberFormat="1" applyFont="1" applyFill="1" applyBorder="1" applyAlignment="1">
      <alignment vertical="center" wrapText="1"/>
    </xf>
    <xf numFmtId="164" fontId="6" fillId="3" borderId="82" xfId="0" applyNumberFormat="1" applyFont="1" applyFill="1" applyBorder="1" applyAlignment="1">
      <alignment vertical="center" wrapText="1"/>
    </xf>
    <xf numFmtId="0" fontId="0" fillId="6" borderId="58" xfId="0" applyFill="1" applyBorder="1" applyAlignment="1">
      <alignment horizontal="right" indent="1"/>
    </xf>
    <xf numFmtId="0" fontId="0" fillId="6" borderId="59" xfId="0" applyFill="1" applyBorder="1" applyAlignment="1">
      <alignment horizontal="right" indent="1"/>
    </xf>
    <xf numFmtId="0" fontId="0" fillId="6" borderId="97" xfId="0" applyFill="1" applyBorder="1" applyAlignment="1">
      <alignment horizontal="right" indent="1"/>
    </xf>
    <xf numFmtId="0" fontId="0" fillId="6" borderId="61" xfId="0" applyFill="1" applyBorder="1" applyAlignment="1">
      <alignment horizontal="right" indent="1"/>
    </xf>
    <xf numFmtId="0" fontId="0" fillId="6" borderId="62" xfId="0" applyFill="1" applyBorder="1" applyAlignment="1">
      <alignment horizontal="right" indent="1"/>
    </xf>
    <xf numFmtId="0" fontId="0" fillId="6" borderId="77" xfId="0" applyFill="1" applyBorder="1" applyAlignment="1">
      <alignment horizontal="right" indent="1"/>
    </xf>
    <xf numFmtId="0" fontId="0" fillId="6" borderId="94" xfId="0" applyFill="1" applyBorder="1" applyAlignment="1">
      <alignment horizontal="right" indent="1"/>
    </xf>
    <xf numFmtId="0" fontId="0" fillId="6" borderId="95" xfId="0" applyFill="1" applyBorder="1" applyAlignment="1">
      <alignment horizontal="right" indent="1"/>
    </xf>
    <xf numFmtId="0" fontId="0" fillId="6" borderId="98" xfId="0" applyFill="1" applyBorder="1" applyAlignment="1">
      <alignment horizontal="right" indent="1"/>
    </xf>
    <xf numFmtId="0" fontId="0" fillId="9" borderId="91" xfId="0" applyFill="1" applyBorder="1" applyAlignment="1">
      <alignment horizontal="right" indent="1"/>
    </xf>
    <xf numFmtId="0" fontId="0" fillId="9" borderId="92" xfId="0" applyFill="1" applyBorder="1" applyAlignment="1">
      <alignment horizontal="right" indent="1"/>
    </xf>
    <xf numFmtId="0" fontId="0" fillId="9" borderId="73" xfId="0" applyFill="1" applyBorder="1" applyAlignment="1">
      <alignment horizontal="right" indent="1"/>
    </xf>
    <xf numFmtId="0" fontId="0" fillId="9" borderId="61" xfId="0" applyFill="1" applyBorder="1" applyAlignment="1">
      <alignment horizontal="right" indent="1"/>
    </xf>
    <xf numFmtId="0" fontId="0" fillId="9" borderId="62" xfId="0" applyFill="1" applyBorder="1" applyAlignment="1">
      <alignment horizontal="right" indent="1"/>
    </xf>
    <xf numFmtId="0" fontId="0" fillId="9" borderId="77" xfId="0" applyFill="1" applyBorder="1" applyAlignment="1">
      <alignment horizontal="right" indent="1"/>
    </xf>
    <xf numFmtId="0" fontId="0" fillId="9" borderId="94" xfId="0" applyFill="1" applyBorder="1" applyAlignment="1">
      <alignment horizontal="right" indent="1"/>
    </xf>
    <xf numFmtId="0" fontId="0" fillId="9" borderId="95" xfId="0" applyFill="1" applyBorder="1" applyAlignment="1">
      <alignment horizontal="right" indent="1"/>
    </xf>
    <xf numFmtId="0" fontId="0" fillId="9" borderId="98" xfId="0" applyFill="1" applyBorder="1" applyAlignment="1">
      <alignment horizontal="right" indent="1"/>
    </xf>
    <xf numFmtId="0" fontId="0" fillId="7" borderId="91" xfId="0" applyFill="1" applyBorder="1" applyAlignment="1">
      <alignment horizontal="right" indent="1"/>
    </xf>
    <xf numFmtId="0" fontId="0" fillId="7" borderId="92" xfId="0" applyFill="1" applyBorder="1" applyAlignment="1">
      <alignment horizontal="right" indent="1"/>
    </xf>
    <xf numFmtId="0" fontId="0" fillId="7" borderId="73" xfId="0" applyFill="1" applyBorder="1" applyAlignment="1">
      <alignment horizontal="right" indent="1"/>
    </xf>
    <xf numFmtId="0" fontId="0" fillId="7" borderId="61" xfId="0" applyFill="1" applyBorder="1" applyAlignment="1">
      <alignment horizontal="right" indent="1"/>
    </xf>
    <xf numFmtId="0" fontId="0" fillId="7" borderId="62" xfId="0" applyFill="1" applyBorder="1" applyAlignment="1">
      <alignment horizontal="right" indent="1"/>
    </xf>
    <xf numFmtId="0" fontId="0" fillId="7" borderId="77" xfId="0" applyFill="1" applyBorder="1" applyAlignment="1">
      <alignment horizontal="right" indent="1"/>
    </xf>
    <xf numFmtId="0" fontId="0" fillId="7" borderId="94" xfId="0" applyFill="1" applyBorder="1" applyAlignment="1">
      <alignment horizontal="right" indent="1"/>
    </xf>
    <xf numFmtId="0" fontId="0" fillId="7" borderId="95" xfId="0" applyFill="1" applyBorder="1" applyAlignment="1">
      <alignment horizontal="right" indent="1"/>
    </xf>
    <xf numFmtId="0" fontId="0" fillId="7" borderId="98" xfId="0" applyFill="1" applyBorder="1" applyAlignment="1">
      <alignment horizontal="right" indent="1"/>
    </xf>
    <xf numFmtId="0" fontId="0" fillId="4" borderId="91" xfId="0" applyFill="1" applyBorder="1" applyAlignment="1">
      <alignment horizontal="right" indent="1"/>
    </xf>
    <xf numFmtId="0" fontId="0" fillId="4" borderId="92" xfId="0" applyFill="1" applyBorder="1" applyAlignment="1">
      <alignment horizontal="right" indent="1"/>
    </xf>
    <xf numFmtId="0" fontId="0" fillId="4" borderId="73" xfId="0" applyFill="1" applyBorder="1" applyAlignment="1">
      <alignment horizontal="right" indent="1"/>
    </xf>
    <xf numFmtId="0" fontId="0" fillId="4" borderId="64" xfId="0" applyFill="1" applyBorder="1" applyAlignment="1">
      <alignment horizontal="right" indent="1"/>
    </xf>
    <xf numFmtId="0" fontId="0" fillId="4" borderId="65" xfId="0" applyFill="1" applyBorder="1" applyAlignment="1">
      <alignment horizontal="right" indent="1"/>
    </xf>
    <xf numFmtId="0" fontId="0" fillId="4" borderId="80" xfId="0" applyFill="1" applyBorder="1" applyAlignment="1">
      <alignment horizontal="right" indent="1"/>
    </xf>
    <xf numFmtId="164" fontId="0" fillId="6" borderId="99" xfId="0" applyNumberFormat="1" applyFill="1" applyBorder="1" applyAlignment="1">
      <alignment horizontal="left" indent="1"/>
    </xf>
    <xf numFmtId="164" fontId="0" fillId="6" borderId="59" xfId="0" applyNumberFormat="1" applyFill="1" applyBorder="1" applyAlignment="1">
      <alignment horizontal="left" indent="1"/>
    </xf>
    <xf numFmtId="164" fontId="0" fillId="6" borderId="60" xfId="0" applyNumberFormat="1" applyFill="1" applyBorder="1" applyAlignment="1">
      <alignment horizontal="left" indent="1"/>
    </xf>
    <xf numFmtId="10" fontId="0" fillId="6" borderId="100" xfId="0" applyNumberFormat="1" applyFill="1" applyBorder="1" applyAlignment="1">
      <alignment horizontal="left" indent="1"/>
    </xf>
    <xf numFmtId="10" fontId="0" fillId="6" borderId="62" xfId="0" applyNumberFormat="1" applyFill="1" applyBorder="1" applyAlignment="1">
      <alignment horizontal="left" indent="1"/>
    </xf>
    <xf numFmtId="10" fontId="0" fillId="6" borderId="63" xfId="0" applyNumberFormat="1" applyFill="1" applyBorder="1" applyAlignment="1">
      <alignment horizontal="left" indent="1"/>
    </xf>
    <xf numFmtId="164" fontId="0" fillId="6" borderId="100" xfId="0" applyNumberFormat="1" applyFill="1" applyBorder="1" applyAlignment="1">
      <alignment horizontal="left" indent="1"/>
    </xf>
    <xf numFmtId="164" fontId="0" fillId="6" borderId="62" xfId="0" applyNumberFormat="1" applyFill="1" applyBorder="1" applyAlignment="1">
      <alignment horizontal="left" indent="1"/>
    </xf>
    <xf numFmtId="164" fontId="0" fillId="6" borderId="63" xfId="0" applyNumberFormat="1" applyFill="1" applyBorder="1" applyAlignment="1">
      <alignment horizontal="left" indent="1"/>
    </xf>
    <xf numFmtId="0" fontId="10" fillId="7" borderId="91" xfId="0" applyFont="1" applyFill="1" applyBorder="1" applyAlignment="1">
      <alignment horizontal="right" vertical="center" indent="1"/>
    </xf>
    <xf numFmtId="0" fontId="10" fillId="7" borderId="92" xfId="0" applyFont="1" applyFill="1" applyBorder="1" applyAlignment="1">
      <alignment horizontal="right" vertical="center" indent="1"/>
    </xf>
    <xf numFmtId="0" fontId="10" fillId="7" borderId="73" xfId="0" applyFont="1" applyFill="1" applyBorder="1" applyAlignment="1">
      <alignment horizontal="right" vertical="center" indent="1"/>
    </xf>
    <xf numFmtId="164" fontId="10" fillId="7" borderId="139" xfId="0" applyNumberFormat="1" applyFont="1" applyFill="1" applyBorder="1" applyAlignment="1">
      <alignment horizontal="left" vertical="center" indent="1"/>
    </xf>
    <xf numFmtId="0" fontId="10" fillId="7" borderId="64" xfId="0" applyFont="1" applyFill="1" applyBorder="1" applyAlignment="1">
      <alignment horizontal="right" vertical="center" indent="1"/>
    </xf>
    <xf numFmtId="0" fontId="10" fillId="7" borderId="65" xfId="0" applyFont="1" applyFill="1" applyBorder="1" applyAlignment="1">
      <alignment horizontal="right" vertical="center" indent="1"/>
    </xf>
    <xf numFmtId="0" fontId="10" fillId="7" borderId="80" xfId="0" applyFont="1" applyFill="1" applyBorder="1" applyAlignment="1">
      <alignment horizontal="right" vertical="center" indent="1"/>
    </xf>
    <xf numFmtId="49" fontId="21" fillId="10" borderId="89" xfId="0" applyNumberFormat="1" applyFont="1" applyFill="1" applyBorder="1" applyAlignment="1">
      <alignment horizontal="center" vertical="center"/>
    </xf>
    <xf numFmtId="0" fontId="0" fillId="2" borderId="89" xfId="0" applyFill="1" applyBorder="1" applyAlignment="1">
      <alignment horizontal="left" vertical="center" wrapText="1" indent="1"/>
    </xf>
    <xf numFmtId="0" fontId="0" fillId="0" borderId="4"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2" borderId="22" xfId="0" applyFill="1" applyBorder="1" applyAlignment="1">
      <alignment horizontal="right" vertical="top" wrapText="1" indent="1"/>
    </xf>
    <xf numFmtId="0" fontId="0" fillId="2" borderId="0" xfId="0" applyFill="1" applyAlignment="1">
      <alignment horizontal="right" vertical="top" wrapText="1" indent="1"/>
    </xf>
    <xf numFmtId="0" fontId="0" fillId="2" borderId="0" xfId="0" applyFill="1" applyAlignment="1">
      <alignment horizontal="justify" vertical="top" wrapText="1"/>
    </xf>
    <xf numFmtId="0" fontId="0" fillId="0" borderId="0" xfId="0" applyAlignment="1">
      <alignment horizontal="justify" vertical="top" wrapText="1"/>
    </xf>
    <xf numFmtId="49" fontId="4" fillId="3" borderId="55" xfId="0" applyNumberFormat="1" applyFont="1" applyFill="1" applyBorder="1" applyAlignment="1">
      <alignment horizontal="center" vertical="center"/>
    </xf>
    <xf numFmtId="49" fontId="4" fillId="3" borderId="56" xfId="0" applyNumberFormat="1" applyFont="1" applyFill="1" applyBorder="1" applyAlignment="1">
      <alignment horizontal="center" vertical="center"/>
    </xf>
    <xf numFmtId="0" fontId="2" fillId="10" borderId="4" xfId="0" applyFont="1" applyFill="1" applyBorder="1" applyAlignment="1">
      <alignment horizontal="left" vertical="center" indent="2"/>
    </xf>
    <xf numFmtId="0" fontId="2" fillId="10" borderId="7" xfId="0" applyFont="1" applyFill="1" applyBorder="1" applyAlignment="1">
      <alignment horizontal="left" vertical="center" indent="2"/>
    </xf>
    <xf numFmtId="0" fontId="20" fillId="3" borderId="115" xfId="0" applyFont="1" applyFill="1" applyBorder="1" applyAlignment="1">
      <alignment horizontal="center" vertical="center"/>
    </xf>
    <xf numFmtId="0" fontId="0" fillId="0" borderId="90" xfId="0" applyBorder="1" applyAlignment="1">
      <alignment horizontal="center" vertical="center"/>
    </xf>
    <xf numFmtId="0" fontId="0" fillId="0" borderId="116" xfId="0" applyBorder="1" applyAlignment="1">
      <alignment horizontal="center" vertical="center"/>
    </xf>
    <xf numFmtId="0" fontId="0" fillId="0" borderId="22" xfId="0" applyBorder="1" applyAlignment="1">
      <alignment horizontal="center" vertical="center"/>
    </xf>
    <xf numFmtId="0" fontId="0" fillId="0" borderId="57" xfId="0" applyBorder="1" applyAlignment="1">
      <alignment horizontal="center" vertical="center"/>
    </xf>
    <xf numFmtId="164" fontId="0" fillId="7" borderId="138" xfId="0" applyNumberFormat="1" applyFill="1" applyBorder="1" applyAlignment="1">
      <alignment horizontal="left" vertical="center" indent="1"/>
    </xf>
    <xf numFmtId="0" fontId="0" fillId="0" borderId="27" xfId="0" applyBorder="1" applyAlignment="1">
      <alignment horizontal="left" vertical="center" indent="1"/>
    </xf>
    <xf numFmtId="0" fontId="0" fillId="0" borderId="28" xfId="0" applyBorder="1" applyAlignment="1">
      <alignment horizontal="left" vertical="center" indent="1"/>
    </xf>
    <xf numFmtId="0" fontId="0" fillId="2" borderId="0" xfId="0" applyFill="1" applyAlignment="1">
      <alignment horizontal="left" vertical="center" wrapText="1" indent="2"/>
    </xf>
    <xf numFmtId="0" fontId="10" fillId="2" borderId="0" xfId="0" applyFont="1" applyFill="1" applyAlignment="1">
      <alignment horizontal="left" wrapText="1"/>
    </xf>
    <xf numFmtId="0" fontId="0" fillId="0" borderId="0" xfId="0" applyAlignment="1">
      <alignment horizontal="left" vertical="center" wrapText="1"/>
    </xf>
    <xf numFmtId="0" fontId="0" fillId="2" borderId="0" xfId="0" applyFill="1" applyAlignment="1">
      <alignment wrapText="1"/>
    </xf>
    <xf numFmtId="0" fontId="7" fillId="2" borderId="0" xfId="1" applyFill="1" applyAlignment="1">
      <alignment wrapText="1"/>
    </xf>
    <xf numFmtId="0" fontId="10" fillId="2" borderId="0" xfId="0" applyFont="1" applyFill="1" applyAlignment="1">
      <alignment wrapText="1"/>
    </xf>
    <xf numFmtId="0" fontId="10" fillId="0" borderId="0" xfId="0" applyFont="1" applyAlignment="1">
      <alignment wrapText="1"/>
    </xf>
    <xf numFmtId="0" fontId="5" fillId="14" borderId="20" xfId="0" applyFont="1" applyFill="1" applyBorder="1" applyAlignment="1">
      <alignment horizontal="center" vertical="center" wrapText="1"/>
    </xf>
    <xf numFmtId="0" fontId="5" fillId="14" borderId="21" xfId="0" applyFont="1" applyFill="1" applyBorder="1" applyAlignment="1">
      <alignment horizontal="center" vertical="center" wrapText="1"/>
    </xf>
    <xf numFmtId="0" fontId="0" fillId="2" borderId="14" xfId="0" applyFill="1" applyBorder="1" applyAlignment="1">
      <alignment wrapText="1"/>
    </xf>
    <xf numFmtId="0" fontId="0" fillId="0" borderId="15" xfId="0" applyBorder="1" applyAlignment="1">
      <alignment wrapText="1"/>
    </xf>
    <xf numFmtId="0" fontId="0" fillId="0" borderId="16" xfId="0" applyBorder="1" applyAlignment="1">
      <alignment wrapText="1"/>
    </xf>
    <xf numFmtId="0" fontId="0" fillId="0" borderId="17" xfId="0" applyBorder="1" applyAlignment="1">
      <alignment wrapText="1"/>
    </xf>
    <xf numFmtId="0" fontId="0" fillId="0" borderId="18" xfId="0" applyBorder="1" applyAlignment="1">
      <alignment wrapText="1"/>
    </xf>
    <xf numFmtId="0" fontId="0" fillId="0" borderId="19" xfId="0" applyBorder="1" applyAlignment="1">
      <alignment wrapText="1"/>
    </xf>
    <xf numFmtId="0" fontId="10" fillId="2" borderId="0" xfId="0" applyFont="1" applyFill="1" applyAlignment="1">
      <alignment horizontal="left" vertical="top"/>
    </xf>
    <xf numFmtId="0" fontId="10" fillId="0" borderId="117"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cellXfs>
  <cellStyles count="15">
    <cellStyle name="Comma 2" xfId="4" xr:uid="{00000000-0005-0000-0000-000000000000}"/>
    <cellStyle name="Comma 2 2" xfId="6" xr:uid="{00000000-0005-0000-0000-000001000000}"/>
    <cellStyle name="Comma 3" xfId="13" xr:uid="{00000000-0005-0000-0000-000002000000}"/>
    <cellStyle name="Currency" xfId="14" builtinId="4"/>
    <cellStyle name="Currency 2" xfId="7" xr:uid="{00000000-0005-0000-0000-000004000000}"/>
    <cellStyle name="Good" xfId="2" builtinId="26"/>
    <cellStyle name="Hyperlink" xfId="1" builtinId="8"/>
    <cellStyle name="Hyperlink 2" xfId="11" xr:uid="{00000000-0005-0000-0000-000007000000}"/>
    <cellStyle name="Hyperlink 3" xfId="12" xr:uid="{00000000-0005-0000-0000-000008000000}"/>
    <cellStyle name="Normal" xfId="0" builtinId="0"/>
    <cellStyle name="Normal 2" xfId="3" xr:uid="{00000000-0005-0000-0000-00000A000000}"/>
    <cellStyle name="Normal 3" xfId="8" xr:uid="{00000000-0005-0000-0000-00000B000000}"/>
    <cellStyle name="Normal 4" xfId="9" xr:uid="{00000000-0005-0000-0000-00000C000000}"/>
    <cellStyle name="Normal 5" xfId="5" xr:uid="{00000000-0005-0000-0000-00000D000000}"/>
    <cellStyle name="Percent 2" xfId="10" xr:uid="{00000000-0005-0000-0000-00000E000000}"/>
  </cellStyles>
  <dxfs count="9">
    <dxf>
      <font>
        <color rgb="FFFF0000"/>
      </font>
    </dxf>
    <dxf>
      <fill>
        <patternFill>
          <bgColor theme="6" tint="0.39994506668294322"/>
        </patternFill>
      </fill>
    </dxf>
    <dxf>
      <font>
        <color rgb="FFFF0000"/>
      </font>
    </dxf>
    <dxf>
      <font>
        <color rgb="FFFF0000"/>
      </font>
    </dxf>
    <dxf>
      <fill>
        <patternFill>
          <bgColor theme="9" tint="0.79998168889431442"/>
        </patternFill>
      </fill>
    </dxf>
    <dxf>
      <font>
        <color theme="1" tint="0.499984740745262"/>
      </font>
      <fill>
        <patternFill>
          <bgColor theme="0" tint="-4.9989318521683403E-2"/>
        </patternFill>
      </fill>
    </dxf>
    <dxf>
      <font>
        <color theme="1" tint="0.499984740745262"/>
      </font>
      <fill>
        <patternFill>
          <bgColor theme="0" tint="-4.9989318521683403E-2"/>
        </patternFill>
      </fill>
    </dxf>
    <dxf>
      <fill>
        <patternFill>
          <bgColor theme="6" tint="0.39994506668294322"/>
        </patternFill>
      </fill>
    </dxf>
    <dxf>
      <fill>
        <patternFill>
          <bgColor theme="9" tint="0.79998168889431442"/>
        </patternFill>
      </fill>
    </dxf>
  </dxfs>
  <tableStyles count="0" defaultTableStyle="TableStyleMedium2" defaultPivotStyle="PivotStyleLight16"/>
  <colors>
    <mruColors>
      <color rgb="FF005596"/>
      <color rgb="FFC6EFCE"/>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AE$39" lockText="1" noThreeD="1"/>
</file>

<file path=xl/ctrlProps/ctrlProp2.xml><?xml version="1.0" encoding="utf-8"?>
<formControlPr xmlns="http://schemas.microsoft.com/office/spreadsheetml/2009/9/main" objectType="CheckBox" checked="Checked" fmlaLink="$K$6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2</xdr:col>
      <xdr:colOff>76200</xdr:colOff>
      <xdr:row>5</xdr:row>
      <xdr:rowOff>68580</xdr:rowOff>
    </xdr:from>
    <xdr:to>
      <xdr:col>4</xdr:col>
      <xdr:colOff>259080</xdr:colOff>
      <xdr:row>6</xdr:row>
      <xdr:rowOff>731520</xdr:rowOff>
    </xdr:to>
    <xdr:pic>
      <xdr:nvPicPr>
        <xdr:cNvPr id="2" name="Picture 1" descr="toolbox.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13646" t="3638" r="18533" b="7272"/>
        <a:stretch>
          <a:fillRect/>
        </a:stretch>
      </xdr:blipFill>
      <xdr:spPr bwMode="auto">
        <a:xfrm>
          <a:off x="1295400" y="982980"/>
          <a:ext cx="1402080" cy="143256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xdr:colOff>
      <xdr:row>0</xdr:row>
      <xdr:rowOff>19050</xdr:rowOff>
    </xdr:from>
    <xdr:to>
      <xdr:col>4</xdr:col>
      <xdr:colOff>24765</xdr:colOff>
      <xdr:row>2</xdr:row>
      <xdr:rowOff>209550</xdr:rowOff>
    </xdr:to>
    <xdr:pic>
      <xdr:nvPicPr>
        <xdr:cNvPr id="2" name="Picture 1" descr="toolbox.p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rcRect l="13646" t="3638" r="18533" b="7272"/>
        <a:stretch>
          <a:fillRect/>
        </a:stretch>
      </xdr:blipFill>
      <xdr:spPr bwMode="auto">
        <a:xfrm>
          <a:off x="287655" y="19050"/>
          <a:ext cx="565785" cy="5715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0</xdr:rowOff>
    </xdr:from>
    <xdr:to>
      <xdr:col>6</xdr:col>
      <xdr:colOff>60960</xdr:colOff>
      <xdr:row>4</xdr:row>
      <xdr:rowOff>152400</xdr:rowOff>
    </xdr:to>
    <xdr:pic>
      <xdr:nvPicPr>
        <xdr:cNvPr id="2" name="Picture 1" descr="toolbox.pn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rcRect l="13646" t="3638" r="18533" b="7272"/>
        <a:stretch>
          <a:fillRect/>
        </a:stretch>
      </xdr:blipFill>
      <xdr:spPr bwMode="auto">
        <a:xfrm>
          <a:off x="144780" y="0"/>
          <a:ext cx="1287780" cy="97536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31</xdr:col>
          <xdr:colOff>9525</xdr:colOff>
          <xdr:row>37</xdr:row>
          <xdr:rowOff>161925</xdr:rowOff>
        </xdr:from>
        <xdr:to>
          <xdr:col>33</xdr:col>
          <xdr:colOff>209550</xdr:colOff>
          <xdr:row>39</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Include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60</xdr:row>
          <xdr:rowOff>0</xdr:rowOff>
        </xdr:from>
        <xdr:to>
          <xdr:col>13</xdr:col>
          <xdr:colOff>9525</xdr:colOff>
          <xdr:row>60</xdr:row>
          <xdr:rowOff>228600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solidFill>
              <a:srgbClr val="E5B9B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Include</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571500</xdr:colOff>
      <xdr:row>45</xdr:row>
      <xdr:rowOff>175260</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57900" cy="840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601980</xdr:colOff>
      <xdr:row>46</xdr:row>
      <xdr:rowOff>167640</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88380" cy="8580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121920</xdr:colOff>
      <xdr:row>46</xdr:row>
      <xdr:rowOff>152400</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608320" cy="8564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47</xdr:row>
      <xdr:rowOff>0</xdr:rowOff>
    </xdr:from>
    <xdr:to>
      <xdr:col>9</xdr:col>
      <xdr:colOff>114300</xdr:colOff>
      <xdr:row>93</xdr:row>
      <xdr:rowOff>175260</xdr:rowOff>
    </xdr:to>
    <xdr:pic>
      <xdr:nvPicPr>
        <xdr:cNvPr id="3" name="Picture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95360"/>
          <a:ext cx="5600700" cy="85877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594360</xdr:colOff>
      <xdr:row>46</xdr:row>
      <xdr:rowOff>152400</xdr:rowOff>
    </xdr:to>
    <xdr:pic>
      <xdr:nvPicPr>
        <xdr:cNvPr id="3" name="Picture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80760" cy="8564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ean\AppData\Local\Microsoft\Windows\Temporary%20Internet%20Files\Content.Outlook\4FBH84IG\MASTER%20Copy%20of%20CHMIC%20Flip%20Analyzer%2001008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Flip Analyzer"/>
      <sheetName val="Rental Analysis"/>
      <sheetName val="Renovations (2)"/>
      <sheetName val="Property Comparison"/>
      <sheetName val="Budget (Temp)"/>
      <sheetName val="Data"/>
      <sheetName val="Estimate sheet"/>
      <sheetName val="Renovations"/>
      <sheetName val="Flip Analyzer-Sale Price Focus"/>
      <sheetName val="Flip Analyzer - Profit Focused"/>
    </sheetNames>
    <sheetDataSet>
      <sheetData sheetId="0"/>
      <sheetData sheetId="1"/>
      <sheetData sheetId="2"/>
      <sheetData sheetId="3"/>
      <sheetData sheetId="4"/>
      <sheetData sheetId="5"/>
      <sheetData sheetId="6">
        <row r="3">
          <cell r="B3" t="str">
            <v>Bungalow</v>
          </cell>
        </row>
        <row r="4">
          <cell r="B4" t="str">
            <v>Two-story</v>
          </cell>
        </row>
        <row r="5">
          <cell r="B5" t="str">
            <v>3-Level Split</v>
          </cell>
        </row>
        <row r="6">
          <cell r="B6" t="str">
            <v>4-Level Split</v>
          </cell>
        </row>
        <row r="7">
          <cell r="B7" t="str">
            <v>Apartment Condo</v>
          </cell>
        </row>
        <row r="8">
          <cell r="B8" t="str">
            <v>Apartment Building</v>
          </cell>
        </row>
        <row r="9">
          <cell r="B9" t="str">
            <v>Acerage</v>
          </cell>
        </row>
        <row r="10">
          <cell r="B10" t="str">
            <v>Farm</v>
          </cell>
        </row>
        <row r="11">
          <cell r="B11" t="str">
            <v>Serviced Land</v>
          </cell>
        </row>
        <row r="12">
          <cell r="B12" t="str">
            <v>Raw Land</v>
          </cell>
        </row>
        <row r="13">
          <cell r="B13" t="str">
            <v>Commercial Condo</v>
          </cell>
        </row>
        <row r="14">
          <cell r="B14" t="str">
            <v>Commercial Building</v>
          </cell>
        </row>
        <row r="15">
          <cell r="B15" t="str">
            <v>Warehouse</v>
          </cell>
        </row>
      </sheetData>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mic.c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fcac-acfc.gc.ca/Eng/forConsumers/topics/creditCards/Pages/home-accueil.asp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F6:S20"/>
  <sheetViews>
    <sheetView workbookViewId="0">
      <selection activeCell="A2" sqref="A2"/>
    </sheetView>
  </sheetViews>
  <sheetFormatPr defaultColWidth="8.85546875" defaultRowHeight="15" x14ac:dyDescent="0.25"/>
  <cols>
    <col min="1" max="12" width="8.85546875" style="1"/>
    <col min="13" max="13" width="12.140625" style="1" customWidth="1"/>
    <col min="14" max="16384" width="8.85546875" style="1"/>
  </cols>
  <sheetData>
    <row r="6" spans="6:6" ht="60.75" x14ac:dyDescent="0.85">
      <c r="F6" s="62" t="s">
        <v>20</v>
      </c>
    </row>
    <row r="7" spans="6:6" ht="60.75" x14ac:dyDescent="0.85">
      <c r="F7" s="62" t="s">
        <v>255</v>
      </c>
    </row>
    <row r="11" spans="6:6" ht="33.75" x14ac:dyDescent="0.5">
      <c r="F11" s="63" t="s">
        <v>260</v>
      </c>
    </row>
    <row r="12" spans="6:6" ht="33.75" x14ac:dyDescent="0.5">
      <c r="F12" s="63" t="s">
        <v>261</v>
      </c>
    </row>
    <row r="15" spans="6:6" x14ac:dyDescent="0.25">
      <c r="F15" s="1" t="s">
        <v>256</v>
      </c>
    </row>
    <row r="16" spans="6:6" x14ac:dyDescent="0.25">
      <c r="F16" s="1" t="s">
        <v>257</v>
      </c>
    </row>
    <row r="17" spans="11:19" x14ac:dyDescent="0.25">
      <c r="N17" s="64" t="s">
        <v>258</v>
      </c>
    </row>
    <row r="20" spans="11:19" x14ac:dyDescent="0.25">
      <c r="K20" s="65"/>
      <c r="L20" s="65"/>
      <c r="S20" s="66" t="s">
        <v>259</v>
      </c>
    </row>
  </sheetData>
  <sheetProtection sheet="1" objects="1" scenarios="1" selectLockedCells="1"/>
  <hyperlinks>
    <hyperlink ref="N17" r:id="rId1" xr:uid="{00000000-0004-0000-0000-000000000000}"/>
  </hyperlinks>
  <pageMargins left="0.7" right="0.7" top="0.75" bottom="0.75" header="0.3" footer="0.3"/>
  <pageSetup scale="7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3:M19"/>
  <sheetViews>
    <sheetView workbookViewId="0">
      <selection activeCell="G10" sqref="G10"/>
    </sheetView>
  </sheetViews>
  <sheetFormatPr defaultRowHeight="15" x14ac:dyDescent="0.25"/>
  <cols>
    <col min="5" max="5" width="12" bestFit="1" customWidth="1"/>
    <col min="7" max="8" width="8.85546875"/>
    <col min="11" max="11" width="10.7109375" customWidth="1"/>
  </cols>
  <sheetData>
    <row r="3" spans="2:13" x14ac:dyDescent="0.25">
      <c r="B3" t="s">
        <v>7</v>
      </c>
      <c r="E3" s="26" t="s">
        <v>17</v>
      </c>
      <c r="G3" t="s">
        <v>234</v>
      </c>
      <c r="I3" s="26" t="s">
        <v>232</v>
      </c>
      <c r="K3" t="s">
        <v>248</v>
      </c>
      <c r="M3" t="s">
        <v>231</v>
      </c>
    </row>
    <row r="4" spans="2:13" x14ac:dyDescent="0.25">
      <c r="B4" t="s">
        <v>9</v>
      </c>
      <c r="E4" s="26">
        <v>0</v>
      </c>
      <c r="G4">
        <v>3</v>
      </c>
      <c r="I4" s="26">
        <v>0</v>
      </c>
      <c r="K4" t="s">
        <v>125</v>
      </c>
      <c r="M4" s="27" t="s">
        <v>230</v>
      </c>
    </row>
    <row r="5" spans="2:13" x14ac:dyDescent="0.25">
      <c r="B5" t="s">
        <v>10</v>
      </c>
      <c r="E5" s="26">
        <v>1</v>
      </c>
      <c r="G5">
        <v>6</v>
      </c>
      <c r="I5" s="26">
        <v>1</v>
      </c>
      <c r="K5" t="s">
        <v>122</v>
      </c>
      <c r="M5" s="27" t="s">
        <v>237</v>
      </c>
    </row>
    <row r="6" spans="2:13" x14ac:dyDescent="0.25">
      <c r="B6" t="s">
        <v>11</v>
      </c>
      <c r="E6" s="26">
        <v>2</v>
      </c>
      <c r="G6">
        <v>12</v>
      </c>
      <c r="I6" s="26">
        <v>1.5</v>
      </c>
      <c r="K6" t="s">
        <v>121</v>
      </c>
      <c r="M6" s="27" t="s">
        <v>238</v>
      </c>
    </row>
    <row r="7" spans="2:13" x14ac:dyDescent="0.25">
      <c r="B7" t="s">
        <v>12</v>
      </c>
      <c r="E7" s="26">
        <v>3</v>
      </c>
      <c r="G7">
        <v>24</v>
      </c>
      <c r="I7" s="26">
        <v>2</v>
      </c>
      <c r="K7" t="s">
        <v>249</v>
      </c>
      <c r="M7" s="28" t="s">
        <v>239</v>
      </c>
    </row>
    <row r="8" spans="2:13" x14ac:dyDescent="0.25">
      <c r="B8" t="s">
        <v>13</v>
      </c>
      <c r="E8" s="26">
        <v>5</v>
      </c>
      <c r="G8">
        <v>36</v>
      </c>
      <c r="I8" s="26">
        <v>2.5</v>
      </c>
      <c r="K8" t="s">
        <v>124</v>
      </c>
    </row>
    <row r="9" spans="2:13" x14ac:dyDescent="0.25">
      <c r="B9" t="s">
        <v>14</v>
      </c>
      <c r="E9" s="26">
        <v>10</v>
      </c>
      <c r="G9">
        <v>48</v>
      </c>
      <c r="I9" s="26">
        <v>3</v>
      </c>
      <c r="K9" t="s">
        <v>250</v>
      </c>
    </row>
    <row r="10" spans="2:13" x14ac:dyDescent="0.25">
      <c r="B10" t="s">
        <v>15</v>
      </c>
      <c r="E10" s="26">
        <v>15</v>
      </c>
      <c r="G10">
        <v>60</v>
      </c>
      <c r="I10" s="26" t="s">
        <v>288</v>
      </c>
      <c r="K10" t="s">
        <v>251</v>
      </c>
    </row>
    <row r="11" spans="2:13" x14ac:dyDescent="0.25">
      <c r="B11" t="s">
        <v>287</v>
      </c>
      <c r="E11" s="26">
        <v>20</v>
      </c>
      <c r="I11" s="26"/>
      <c r="K11" t="s">
        <v>252</v>
      </c>
    </row>
    <row r="12" spans="2:13" x14ac:dyDescent="0.25">
      <c r="B12" t="s">
        <v>3</v>
      </c>
      <c r="E12" s="26">
        <v>25</v>
      </c>
      <c r="I12" s="26"/>
      <c r="K12" t="s">
        <v>253</v>
      </c>
    </row>
    <row r="13" spans="2:13" x14ac:dyDescent="0.25">
      <c r="E13" s="26">
        <v>30</v>
      </c>
      <c r="I13" s="26"/>
      <c r="K13" t="s">
        <v>254</v>
      </c>
    </row>
    <row r="14" spans="2:13" x14ac:dyDescent="0.25">
      <c r="I14" s="26"/>
    </row>
    <row r="16" spans="2:13" x14ac:dyDescent="0.25">
      <c r="E16" t="s">
        <v>25</v>
      </c>
      <c r="F16" t="s">
        <v>26</v>
      </c>
    </row>
    <row r="17" spans="2:6" x14ac:dyDescent="0.25">
      <c r="E17" s="6">
        <f>'Debt Tool'!I72</f>
        <v>3.09E-2</v>
      </c>
      <c r="F17">
        <f>(((1+(E17/2))^(2)))^(1/12)-1</f>
        <v>2.5585782551060809E-3</v>
      </c>
    </row>
    <row r="18" spans="2:6" x14ac:dyDescent="0.25">
      <c r="B18" s="482" t="str">
        <f>'Debt Tool'!D62</f>
        <v>NEW FIRST MORTGAGE</v>
      </c>
      <c r="C18" s="482"/>
      <c r="D18" s="482"/>
      <c r="E18" s="6">
        <f>'Debt Tool'!V72</f>
        <v>0.11</v>
      </c>
      <c r="F18">
        <f>(((1+(E18/2))^(2)))^(1/12)-1</f>
        <v>8.9633939252906636E-3</v>
      </c>
    </row>
    <row r="19" spans="2:6" x14ac:dyDescent="0.25">
      <c r="B19" s="482" t="str">
        <f>'Debt Tool'!Q62</f>
        <v>NEW SECOND MORTGAGE</v>
      </c>
      <c r="C19" s="482"/>
      <c r="D19" s="482"/>
    </row>
  </sheetData>
  <mergeCells count="2">
    <mergeCell ref="B18:D18"/>
    <mergeCell ref="B19:D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B42"/>
  <sheetViews>
    <sheetView topLeftCell="A13" zoomScaleNormal="100" workbookViewId="0">
      <selection activeCell="AP40" sqref="AP40"/>
    </sheetView>
  </sheetViews>
  <sheetFormatPr defaultColWidth="9.140625" defaultRowHeight="15" x14ac:dyDescent="0.25"/>
  <cols>
    <col min="1" max="1" width="4.28515625" style="1" customWidth="1"/>
    <col min="2" max="2" width="2.7109375" style="3" customWidth="1"/>
    <col min="3" max="18" width="2.7109375" style="1" customWidth="1"/>
    <col min="19" max="27" width="3.42578125" style="1" customWidth="1"/>
    <col min="28" max="28" width="4.28515625" style="1" customWidth="1"/>
    <col min="29" max="41" width="3.42578125" style="1" customWidth="1"/>
    <col min="42" max="16384" width="9.140625" style="1"/>
  </cols>
  <sheetData>
    <row r="2" spans="2:54" ht="15" customHeight="1" x14ac:dyDescent="0.25">
      <c r="B2" s="156" t="s">
        <v>165</v>
      </c>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69"/>
      <c r="AC2" s="69"/>
      <c r="AD2" s="69"/>
      <c r="AE2" s="69"/>
      <c r="AF2" s="69"/>
      <c r="AG2" s="69"/>
      <c r="AH2" s="69"/>
      <c r="AI2" s="69"/>
      <c r="AJ2" s="69"/>
      <c r="AK2" s="69"/>
      <c r="AL2" s="69"/>
      <c r="AM2" s="69"/>
      <c r="AN2" s="69"/>
      <c r="AO2" s="69"/>
      <c r="AX2" s="149"/>
      <c r="AY2" s="149"/>
      <c r="AZ2" s="149"/>
      <c r="BA2" s="149"/>
      <c r="BB2" s="149"/>
    </row>
    <row r="3" spans="2:54" s="2" customFormat="1" ht="19.149999999999999" customHeight="1" thickBot="1" x14ac:dyDescent="0.3">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70"/>
      <c r="AC3" s="70"/>
      <c r="AD3" s="70"/>
      <c r="AE3" s="70"/>
      <c r="AF3" s="70"/>
      <c r="AG3" s="70"/>
      <c r="AH3" s="70"/>
      <c r="AI3" s="70"/>
      <c r="AJ3" s="70"/>
      <c r="AK3" s="70"/>
      <c r="AL3" s="70"/>
      <c r="AM3" s="70"/>
      <c r="AN3" s="70"/>
      <c r="AO3" s="70"/>
    </row>
    <row r="5" spans="2:54" ht="15.75" thickBot="1" x14ac:dyDescent="0.3"/>
    <row r="6" spans="2:54" x14ac:dyDescent="0.25">
      <c r="B6" s="150" t="s">
        <v>0</v>
      </c>
      <c r="C6" s="151"/>
      <c r="D6" s="151"/>
      <c r="E6" s="151"/>
      <c r="F6" s="151"/>
      <c r="G6" s="151"/>
      <c r="H6" s="151"/>
      <c r="I6" s="151"/>
      <c r="J6" s="151"/>
      <c r="K6" s="151"/>
      <c r="L6" s="151"/>
      <c r="M6" s="151"/>
      <c r="N6" s="151"/>
      <c r="O6" s="151"/>
      <c r="P6" s="151"/>
      <c r="Q6" s="151"/>
      <c r="R6" s="152"/>
    </row>
    <row r="7" spans="2:54" ht="15.75" thickBot="1" x14ac:dyDescent="0.3">
      <c r="B7" s="153"/>
      <c r="C7" s="154"/>
      <c r="D7" s="154"/>
      <c r="E7" s="154"/>
      <c r="F7" s="154"/>
      <c r="G7" s="154"/>
      <c r="H7" s="154"/>
      <c r="I7" s="154"/>
      <c r="J7" s="154"/>
      <c r="K7" s="154"/>
      <c r="L7" s="154"/>
      <c r="M7" s="154"/>
      <c r="N7" s="154"/>
      <c r="O7" s="154"/>
      <c r="P7" s="154"/>
      <c r="Q7" s="154"/>
      <c r="R7" s="155"/>
    </row>
    <row r="8" spans="2:54" ht="15" customHeight="1" x14ac:dyDescent="0.25">
      <c r="B8" s="137" t="s">
        <v>23</v>
      </c>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71"/>
      <c r="AC8" s="71"/>
      <c r="AD8" s="71"/>
      <c r="AE8" s="71"/>
      <c r="AF8" s="71"/>
      <c r="AG8" s="71"/>
      <c r="AH8" s="71"/>
      <c r="AI8" s="71"/>
      <c r="AJ8" s="71"/>
      <c r="AK8" s="71"/>
      <c r="AL8" s="71"/>
      <c r="AM8" s="71"/>
      <c r="AN8" s="71"/>
      <c r="AO8" s="71"/>
    </row>
    <row r="9" spans="2:54" ht="15" customHeight="1" x14ac:dyDescent="0.25">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71"/>
      <c r="AC9" s="71"/>
      <c r="AD9" s="71"/>
      <c r="AE9" s="71"/>
      <c r="AF9" s="71"/>
      <c r="AG9" s="71"/>
      <c r="AH9" s="71"/>
      <c r="AI9" s="71"/>
      <c r="AJ9" s="71"/>
      <c r="AK9" s="71"/>
      <c r="AL9" s="71"/>
      <c r="AM9" s="71"/>
      <c r="AN9" s="71"/>
      <c r="AO9" s="71"/>
    </row>
    <row r="10" spans="2:54" x14ac:dyDescent="0.25">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71"/>
      <c r="AC10" s="71"/>
      <c r="AD10" s="71"/>
      <c r="AE10" s="71"/>
      <c r="AF10" s="71"/>
      <c r="AG10" s="71"/>
      <c r="AH10" s="71"/>
      <c r="AI10" s="71"/>
      <c r="AJ10" s="71"/>
      <c r="AK10" s="71"/>
      <c r="AL10" s="71"/>
      <c r="AM10" s="71"/>
      <c r="AN10" s="71"/>
      <c r="AO10" s="71"/>
    </row>
    <row r="11" spans="2:54" ht="15.75" thickBot="1" x14ac:dyDescent="0.3"/>
    <row r="12" spans="2:54" x14ac:dyDescent="0.25">
      <c r="B12" s="139" t="s">
        <v>1</v>
      </c>
      <c r="C12" s="140"/>
      <c r="D12" s="143" t="s">
        <v>5</v>
      </c>
      <c r="E12" s="144"/>
      <c r="F12" s="144"/>
      <c r="G12" s="144"/>
      <c r="H12" s="144"/>
      <c r="I12" s="144"/>
      <c r="J12" s="144"/>
      <c r="K12" s="144"/>
      <c r="L12" s="144"/>
      <c r="M12" s="144"/>
      <c r="N12" s="144"/>
      <c r="O12" s="144"/>
      <c r="P12" s="144"/>
      <c r="Q12" s="144"/>
      <c r="R12" s="145"/>
    </row>
    <row r="13" spans="2:54" ht="15.75" thickBot="1" x14ac:dyDescent="0.3">
      <c r="B13" s="141"/>
      <c r="C13" s="142"/>
      <c r="D13" s="146"/>
      <c r="E13" s="147"/>
      <c r="F13" s="147"/>
      <c r="G13" s="147"/>
      <c r="H13" s="147"/>
      <c r="I13" s="147"/>
      <c r="J13" s="147"/>
      <c r="K13" s="147"/>
      <c r="L13" s="147"/>
      <c r="M13" s="147"/>
      <c r="N13" s="147"/>
      <c r="O13" s="147"/>
      <c r="P13" s="147"/>
      <c r="Q13" s="147"/>
      <c r="R13" s="148"/>
    </row>
    <row r="14" spans="2:54" x14ac:dyDescent="0.25">
      <c r="B14" s="137" t="s">
        <v>24</v>
      </c>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4"/>
      <c r="AC14" s="14"/>
      <c r="AD14" s="14"/>
      <c r="AE14" s="14"/>
      <c r="AF14" s="14"/>
      <c r="AG14" s="14"/>
      <c r="AH14" s="14"/>
      <c r="AI14" s="14"/>
      <c r="AJ14" s="14"/>
      <c r="AK14" s="14"/>
      <c r="AL14" s="14"/>
      <c r="AM14" s="14"/>
      <c r="AN14" s="14"/>
      <c r="AO14" s="14"/>
    </row>
    <row r="15" spans="2:54" x14ac:dyDescent="0.25">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4"/>
      <c r="AC15" s="14"/>
      <c r="AD15" s="14"/>
      <c r="AE15" s="14"/>
      <c r="AF15" s="14"/>
      <c r="AG15" s="14"/>
      <c r="AH15" s="14"/>
      <c r="AI15" s="14"/>
      <c r="AJ15" s="14"/>
      <c r="AK15" s="14"/>
      <c r="AL15" s="14"/>
      <c r="AM15" s="14"/>
      <c r="AN15" s="14"/>
      <c r="AO15" s="14"/>
    </row>
    <row r="16" spans="2:54" x14ac:dyDescent="0.25">
      <c r="B16" s="12">
        <v>1</v>
      </c>
      <c r="C16" s="137" t="s">
        <v>112</v>
      </c>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5"/>
      <c r="AC16" s="5"/>
      <c r="AD16" s="5"/>
      <c r="AE16" s="5"/>
      <c r="AF16" s="5"/>
      <c r="AG16" s="5"/>
      <c r="AH16" s="5"/>
      <c r="AI16" s="5"/>
      <c r="AJ16" s="5"/>
      <c r="AK16" s="5"/>
      <c r="AL16" s="5"/>
      <c r="AM16" s="5"/>
      <c r="AN16" s="5"/>
      <c r="AO16" s="5"/>
    </row>
    <row r="17" spans="2:41" x14ac:dyDescent="0.25">
      <c r="B17" s="12"/>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5"/>
      <c r="AC17" s="5"/>
      <c r="AD17" s="5"/>
      <c r="AE17" s="5"/>
      <c r="AF17" s="5"/>
      <c r="AG17" s="5"/>
      <c r="AH17" s="5"/>
      <c r="AI17" s="5"/>
      <c r="AJ17" s="5"/>
      <c r="AK17" s="5"/>
      <c r="AL17" s="5"/>
      <c r="AM17" s="5"/>
      <c r="AN17" s="5"/>
      <c r="AO17" s="5"/>
    </row>
    <row r="18" spans="2:41" x14ac:dyDescent="0.25">
      <c r="B18" s="12">
        <v>2</v>
      </c>
      <c r="C18" s="137" t="s">
        <v>285</v>
      </c>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5"/>
      <c r="AC18" s="5"/>
      <c r="AD18" s="5"/>
      <c r="AE18" s="5"/>
      <c r="AF18" s="5"/>
      <c r="AG18" s="5"/>
      <c r="AH18" s="5"/>
      <c r="AI18" s="5"/>
      <c r="AJ18" s="5"/>
      <c r="AK18" s="5"/>
      <c r="AL18" s="5"/>
      <c r="AM18" s="5"/>
      <c r="AN18" s="5"/>
      <c r="AO18" s="5"/>
    </row>
    <row r="19" spans="2:41" x14ac:dyDescent="0.25">
      <c r="B19" s="12"/>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5"/>
      <c r="AC19" s="5"/>
      <c r="AD19" s="5"/>
      <c r="AE19" s="5"/>
      <c r="AF19" s="5"/>
      <c r="AG19" s="5"/>
      <c r="AH19" s="5"/>
      <c r="AI19" s="5"/>
      <c r="AJ19" s="5"/>
      <c r="AK19" s="5"/>
      <c r="AL19" s="5"/>
      <c r="AM19" s="5"/>
      <c r="AN19" s="5"/>
      <c r="AO19" s="5"/>
    </row>
    <row r="20" spans="2:41" x14ac:dyDescent="0.25">
      <c r="B20" s="12">
        <v>3</v>
      </c>
      <c r="C20" s="158" t="s">
        <v>286</v>
      </c>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5"/>
      <c r="AC20" s="5"/>
      <c r="AD20" s="5"/>
      <c r="AE20" s="5"/>
      <c r="AF20" s="5"/>
      <c r="AG20" s="5"/>
      <c r="AH20" s="5"/>
      <c r="AI20" s="5"/>
      <c r="AJ20" s="5"/>
      <c r="AK20" s="5"/>
      <c r="AL20" s="5"/>
      <c r="AM20" s="5"/>
      <c r="AN20" s="5"/>
      <c r="AO20" s="5"/>
    </row>
    <row r="21" spans="2:41" x14ac:dyDescent="0.25">
      <c r="B21" s="13">
        <v>4</v>
      </c>
      <c r="C21" s="138" t="s">
        <v>113</v>
      </c>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5"/>
      <c r="AC21" s="5"/>
      <c r="AD21" s="5"/>
      <c r="AE21" s="5"/>
      <c r="AF21" s="5"/>
      <c r="AG21" s="5"/>
      <c r="AH21" s="5"/>
      <c r="AI21" s="5"/>
      <c r="AJ21" s="5"/>
      <c r="AK21" s="5"/>
      <c r="AL21" s="5"/>
      <c r="AM21" s="5"/>
      <c r="AN21" s="5"/>
      <c r="AO21" s="5"/>
    </row>
    <row r="22" spans="2:41" x14ac:dyDescent="0.25">
      <c r="C22" s="5"/>
      <c r="D22" s="138" t="s">
        <v>114</v>
      </c>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5"/>
      <c r="AC22" s="5"/>
      <c r="AD22" s="5"/>
      <c r="AE22" s="5"/>
      <c r="AF22" s="5"/>
      <c r="AG22" s="5"/>
      <c r="AH22" s="5"/>
      <c r="AI22" s="5"/>
      <c r="AJ22" s="5"/>
      <c r="AK22" s="5"/>
      <c r="AL22" s="5"/>
      <c r="AM22" s="5"/>
      <c r="AN22" s="5"/>
      <c r="AO22" s="5"/>
    </row>
    <row r="23" spans="2:41" x14ac:dyDescent="0.25">
      <c r="C23" s="5"/>
      <c r="D23" s="138" t="s">
        <v>115</v>
      </c>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5"/>
      <c r="AC23" s="5"/>
      <c r="AD23" s="5"/>
      <c r="AE23" s="5"/>
      <c r="AF23" s="5"/>
      <c r="AG23" s="5"/>
      <c r="AH23" s="5"/>
      <c r="AI23" s="5"/>
      <c r="AJ23" s="5"/>
      <c r="AK23" s="5"/>
      <c r="AL23" s="5"/>
      <c r="AM23" s="5"/>
      <c r="AN23" s="5"/>
      <c r="AO23" s="5"/>
    </row>
    <row r="24" spans="2:41" x14ac:dyDescent="0.25">
      <c r="C24" s="5"/>
      <c r="D24" s="138" t="s">
        <v>116</v>
      </c>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5"/>
      <c r="AC24" s="5"/>
      <c r="AD24" s="5"/>
      <c r="AE24" s="5"/>
      <c r="AF24" s="5"/>
      <c r="AG24" s="5"/>
      <c r="AH24" s="5"/>
      <c r="AI24" s="5"/>
      <c r="AJ24" s="5"/>
      <c r="AK24" s="5"/>
      <c r="AL24" s="5"/>
      <c r="AM24" s="5"/>
      <c r="AN24" s="5"/>
      <c r="AO24" s="5"/>
    </row>
    <row r="25" spans="2:41" x14ac:dyDescent="0.25">
      <c r="C25" s="5"/>
      <c r="D25" s="138" t="s">
        <v>117</v>
      </c>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5"/>
      <c r="AC25" s="5"/>
      <c r="AD25" s="5"/>
      <c r="AE25" s="5"/>
      <c r="AF25" s="5"/>
      <c r="AG25" s="5"/>
      <c r="AH25" s="5"/>
      <c r="AI25" s="5"/>
      <c r="AJ25" s="5"/>
      <c r="AK25" s="5"/>
      <c r="AL25" s="5"/>
      <c r="AM25" s="5"/>
      <c r="AN25" s="5"/>
      <c r="AO25" s="5"/>
    </row>
    <row r="26" spans="2:41" x14ac:dyDescent="0.25">
      <c r="B26" s="13">
        <v>5</v>
      </c>
      <c r="C26" s="137" t="s">
        <v>118</v>
      </c>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5"/>
      <c r="AC26" s="5"/>
      <c r="AD26" s="5"/>
      <c r="AE26" s="5"/>
      <c r="AF26" s="5"/>
      <c r="AG26" s="5"/>
      <c r="AH26" s="5"/>
      <c r="AI26" s="5"/>
      <c r="AJ26" s="5"/>
      <c r="AK26" s="5"/>
      <c r="AL26" s="5"/>
      <c r="AM26" s="5"/>
      <c r="AN26" s="5"/>
      <c r="AO26" s="5"/>
    </row>
    <row r="27" spans="2:41" x14ac:dyDescent="0.25">
      <c r="B27" s="13"/>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5"/>
      <c r="AC27" s="5"/>
      <c r="AD27" s="5"/>
      <c r="AE27" s="5"/>
      <c r="AF27" s="5"/>
      <c r="AG27" s="5"/>
      <c r="AH27" s="5"/>
      <c r="AI27" s="5"/>
      <c r="AJ27" s="5"/>
      <c r="AK27" s="5"/>
      <c r="AL27" s="5"/>
      <c r="AM27" s="5"/>
      <c r="AN27" s="5"/>
      <c r="AO27" s="5"/>
    </row>
    <row r="28" spans="2:41" ht="15.75" thickBot="1" x14ac:dyDescent="0.3"/>
    <row r="29" spans="2:41" x14ac:dyDescent="0.25">
      <c r="B29" s="139" t="s">
        <v>2</v>
      </c>
      <c r="C29" s="140"/>
      <c r="D29" s="143" t="s">
        <v>6</v>
      </c>
      <c r="E29" s="144"/>
      <c r="F29" s="144"/>
      <c r="G29" s="144"/>
      <c r="H29" s="144"/>
      <c r="I29" s="144"/>
      <c r="J29" s="144"/>
      <c r="K29" s="144"/>
      <c r="L29" s="144"/>
      <c r="M29" s="144"/>
      <c r="N29" s="144"/>
      <c r="O29" s="144"/>
      <c r="P29" s="144"/>
      <c r="Q29" s="144"/>
      <c r="R29" s="145"/>
    </row>
    <row r="30" spans="2:41" ht="15.75" thickBot="1" x14ac:dyDescent="0.3">
      <c r="B30" s="141"/>
      <c r="C30" s="142"/>
      <c r="D30" s="146"/>
      <c r="E30" s="147"/>
      <c r="F30" s="147"/>
      <c r="G30" s="147"/>
      <c r="H30" s="147"/>
      <c r="I30" s="147"/>
      <c r="J30" s="147"/>
      <c r="K30" s="147"/>
      <c r="L30" s="147"/>
      <c r="M30" s="147"/>
      <c r="N30" s="147"/>
      <c r="O30" s="147"/>
      <c r="P30" s="147"/>
      <c r="Q30" s="147"/>
      <c r="R30" s="148"/>
    </row>
    <row r="31" spans="2:41" ht="15" customHeight="1" x14ac:dyDescent="0.25">
      <c r="B31" s="137" t="s">
        <v>290</v>
      </c>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5"/>
      <c r="AC31" s="5"/>
      <c r="AD31" s="5"/>
      <c r="AE31" s="5"/>
      <c r="AF31" s="5"/>
      <c r="AG31" s="5"/>
      <c r="AH31" s="5"/>
      <c r="AI31" s="5"/>
      <c r="AJ31" s="5"/>
      <c r="AK31" s="5"/>
      <c r="AL31" s="5"/>
      <c r="AM31" s="5"/>
      <c r="AN31" s="5"/>
      <c r="AO31" s="5"/>
    </row>
    <row r="32" spans="2:41" x14ac:dyDescent="0.25">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5"/>
      <c r="AC32" s="5"/>
      <c r="AD32" s="5"/>
      <c r="AE32" s="5"/>
      <c r="AF32" s="5"/>
      <c r="AG32" s="5"/>
      <c r="AH32" s="5"/>
      <c r="AI32" s="5"/>
      <c r="AJ32" s="5"/>
      <c r="AK32" s="5"/>
      <c r="AL32" s="5"/>
      <c r="AM32" s="5"/>
      <c r="AN32" s="5"/>
      <c r="AO32" s="5"/>
    </row>
    <row r="33" spans="2:41" ht="15.75" thickBot="1" x14ac:dyDescent="0.3">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2:41" ht="15" customHeight="1" x14ac:dyDescent="0.25">
      <c r="B34" s="139" t="s">
        <v>143</v>
      </c>
      <c r="C34" s="140"/>
      <c r="D34" s="143" t="s">
        <v>144</v>
      </c>
      <c r="E34" s="144"/>
      <c r="F34" s="144"/>
      <c r="G34" s="144"/>
      <c r="H34" s="144"/>
      <c r="I34" s="144"/>
      <c r="J34" s="144"/>
      <c r="K34" s="144"/>
      <c r="L34" s="144"/>
      <c r="M34" s="144"/>
      <c r="N34" s="144"/>
      <c r="O34" s="144"/>
      <c r="P34" s="144"/>
      <c r="Q34" s="144"/>
      <c r="R34" s="145"/>
      <c r="S34" s="5"/>
      <c r="T34" s="5"/>
      <c r="U34" s="5"/>
      <c r="V34" s="5"/>
      <c r="W34" s="5"/>
      <c r="X34" s="5"/>
      <c r="Y34" s="5"/>
      <c r="Z34" s="5"/>
      <c r="AA34" s="5"/>
      <c r="AB34" s="5"/>
      <c r="AC34" s="5"/>
      <c r="AD34" s="5"/>
      <c r="AE34" s="5"/>
      <c r="AF34" s="5"/>
      <c r="AG34" s="5"/>
      <c r="AH34" s="5"/>
      <c r="AI34" s="5"/>
      <c r="AJ34" s="5"/>
      <c r="AK34" s="5"/>
      <c r="AL34" s="5"/>
      <c r="AM34" s="5"/>
      <c r="AN34" s="5"/>
      <c r="AO34" s="5"/>
    </row>
    <row r="35" spans="2:41" ht="15.75" thickBot="1" x14ac:dyDescent="0.3">
      <c r="B35" s="141"/>
      <c r="C35" s="142"/>
      <c r="D35" s="146"/>
      <c r="E35" s="147"/>
      <c r="F35" s="147"/>
      <c r="G35" s="147"/>
      <c r="H35" s="147"/>
      <c r="I35" s="147"/>
      <c r="J35" s="147"/>
      <c r="K35" s="147"/>
      <c r="L35" s="147"/>
      <c r="M35" s="147"/>
      <c r="N35" s="147"/>
      <c r="O35" s="147"/>
      <c r="P35" s="147"/>
      <c r="Q35" s="147"/>
      <c r="R35" s="148"/>
    </row>
    <row r="36" spans="2:41" x14ac:dyDescent="0.25">
      <c r="B36" s="136" t="s">
        <v>145</v>
      </c>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3"/>
      <c r="AC36" s="3"/>
      <c r="AD36" s="3"/>
      <c r="AE36" s="3"/>
      <c r="AF36" s="3"/>
      <c r="AG36" s="3"/>
      <c r="AH36" s="3"/>
      <c r="AI36" s="3"/>
      <c r="AJ36" s="3"/>
      <c r="AK36" s="3"/>
      <c r="AL36" s="3"/>
      <c r="AM36" s="3"/>
      <c r="AN36" s="3"/>
      <c r="AO36" s="3"/>
    </row>
    <row r="37" spans="2:41" x14ac:dyDescent="0.25">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3"/>
      <c r="AC37" s="3"/>
      <c r="AD37" s="3"/>
      <c r="AE37" s="3"/>
      <c r="AF37" s="3"/>
      <c r="AG37" s="3"/>
      <c r="AH37" s="3"/>
      <c r="AI37" s="3"/>
      <c r="AJ37" s="3"/>
      <c r="AK37" s="3"/>
      <c r="AL37" s="3"/>
      <c r="AM37" s="3"/>
      <c r="AN37" s="3"/>
      <c r="AO37" s="3"/>
    </row>
    <row r="38" spans="2:41" ht="15.75" thickBot="1" x14ac:dyDescent="0.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2:41" ht="15" customHeight="1" x14ac:dyDescent="0.25">
      <c r="B39" s="139" t="s">
        <v>146</v>
      </c>
      <c r="C39" s="140"/>
      <c r="D39" s="143" t="s">
        <v>147</v>
      </c>
      <c r="E39" s="144"/>
      <c r="F39" s="144"/>
      <c r="G39" s="144"/>
      <c r="H39" s="144"/>
      <c r="I39" s="144"/>
      <c r="J39" s="144"/>
      <c r="K39" s="144"/>
      <c r="L39" s="144"/>
      <c r="M39" s="144"/>
      <c r="N39" s="144"/>
      <c r="O39" s="144"/>
      <c r="P39" s="144"/>
      <c r="Q39" s="144"/>
      <c r="R39" s="145"/>
      <c r="S39" s="3"/>
      <c r="T39" s="3"/>
      <c r="U39" s="3"/>
      <c r="V39" s="3"/>
      <c r="W39" s="3"/>
      <c r="X39" s="3"/>
      <c r="Y39" s="3"/>
      <c r="Z39" s="3"/>
      <c r="AA39" s="3"/>
      <c r="AB39" s="3"/>
      <c r="AC39" s="3"/>
      <c r="AD39" s="3"/>
      <c r="AE39" s="3"/>
      <c r="AF39" s="3"/>
      <c r="AG39" s="3"/>
      <c r="AH39" s="3"/>
      <c r="AI39" s="3"/>
      <c r="AJ39" s="3"/>
      <c r="AK39" s="3"/>
      <c r="AL39" s="3"/>
      <c r="AM39" s="3"/>
      <c r="AN39" s="3"/>
      <c r="AO39" s="3"/>
    </row>
    <row r="40" spans="2:41" ht="15.75" customHeight="1" thickBot="1" x14ac:dyDescent="0.3">
      <c r="B40" s="141"/>
      <c r="C40" s="142"/>
      <c r="D40" s="146"/>
      <c r="E40" s="147"/>
      <c r="F40" s="147"/>
      <c r="G40" s="147"/>
      <c r="H40" s="147"/>
      <c r="I40" s="147"/>
      <c r="J40" s="147"/>
      <c r="K40" s="147"/>
      <c r="L40" s="147"/>
      <c r="M40" s="147"/>
      <c r="N40" s="147"/>
      <c r="O40" s="147"/>
      <c r="P40" s="147"/>
      <c r="Q40" s="147"/>
      <c r="R40" s="148"/>
      <c r="S40" s="4"/>
      <c r="T40" s="4"/>
      <c r="U40" s="4"/>
      <c r="V40" s="4"/>
      <c r="W40" s="4"/>
      <c r="X40" s="4"/>
      <c r="Y40" s="4"/>
      <c r="Z40" s="4"/>
      <c r="AA40" s="4"/>
      <c r="AB40" s="4"/>
      <c r="AC40" s="4"/>
      <c r="AD40" s="4"/>
      <c r="AE40" s="4"/>
      <c r="AF40" s="4"/>
      <c r="AG40" s="4"/>
      <c r="AH40" s="4"/>
      <c r="AI40" s="4"/>
      <c r="AJ40" s="4"/>
      <c r="AK40" s="4"/>
      <c r="AL40" s="4"/>
      <c r="AM40" s="4"/>
      <c r="AN40" s="4"/>
      <c r="AO40" s="4"/>
    </row>
    <row r="41" spans="2:41" x14ac:dyDescent="0.25">
      <c r="B41" s="136" t="s">
        <v>148</v>
      </c>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3"/>
      <c r="AC41" s="3"/>
      <c r="AD41" s="3"/>
      <c r="AE41" s="3"/>
      <c r="AF41" s="3"/>
      <c r="AG41" s="3"/>
      <c r="AH41" s="3"/>
      <c r="AI41" s="3"/>
      <c r="AJ41" s="3"/>
      <c r="AK41" s="3"/>
      <c r="AL41" s="3"/>
      <c r="AM41" s="3"/>
      <c r="AN41" s="3"/>
      <c r="AO41" s="3"/>
    </row>
    <row r="42" spans="2:41" x14ac:dyDescent="0.25">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row>
  </sheetData>
  <sheetProtection selectLockedCells="1"/>
  <mergeCells count="25">
    <mergeCell ref="AX2:BB2"/>
    <mergeCell ref="B12:C13"/>
    <mergeCell ref="D12:R13"/>
    <mergeCell ref="B29:C30"/>
    <mergeCell ref="D29:R30"/>
    <mergeCell ref="B6:R7"/>
    <mergeCell ref="B2:AA3"/>
    <mergeCell ref="B8:AA10"/>
    <mergeCell ref="B14:AA15"/>
    <mergeCell ref="C16:AA17"/>
    <mergeCell ref="C18:AA19"/>
    <mergeCell ref="C20:AA20"/>
    <mergeCell ref="C21:AA21"/>
    <mergeCell ref="D22:AA22"/>
    <mergeCell ref="B36:AA37"/>
    <mergeCell ref="B41:AA42"/>
    <mergeCell ref="B31:AA32"/>
    <mergeCell ref="D23:AA23"/>
    <mergeCell ref="D24:AA24"/>
    <mergeCell ref="D25:AA25"/>
    <mergeCell ref="C26:AA27"/>
    <mergeCell ref="B34:C35"/>
    <mergeCell ref="D34:R35"/>
    <mergeCell ref="B39:C40"/>
    <mergeCell ref="D39:R40"/>
  </mergeCells>
  <pageMargins left="0.7" right="0.7" top="0.75" bottom="0.75" header="0.3" footer="0.3"/>
  <pageSetup orientation="portrait" r:id="rId1"/>
  <ignoredErrors>
    <ignoredError sqref="B12 B29:C30 B38:C40 B33:C35 B36" numberStoredAsText="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T159"/>
  <sheetViews>
    <sheetView tabSelected="1" topLeftCell="A147" zoomScaleNormal="100" workbookViewId="0">
      <selection activeCell="AC162" sqref="AC162"/>
    </sheetView>
  </sheetViews>
  <sheetFormatPr defaultColWidth="8.85546875" defaultRowHeight="15" x14ac:dyDescent="0.25"/>
  <cols>
    <col min="1" max="30" width="3.28515625" style="1" customWidth="1"/>
    <col min="31" max="33" width="3.140625" style="1" customWidth="1"/>
    <col min="34" max="35" width="3.5703125" style="1" customWidth="1"/>
    <col min="36" max="38" width="3.28515625" style="1" customWidth="1"/>
    <col min="39" max="41" width="3.7109375" style="1" customWidth="1"/>
    <col min="42" max="51" width="3.28515625" style="1" customWidth="1"/>
    <col min="52" max="52" width="5.85546875" style="1" customWidth="1"/>
    <col min="53" max="70" width="3.28515625" style="1" customWidth="1"/>
    <col min="71" max="16384" width="8.85546875" style="1"/>
  </cols>
  <sheetData>
    <row r="1" spans="1:72" ht="18" customHeight="1" x14ac:dyDescent="0.25">
      <c r="A1" s="353" t="s">
        <v>167</v>
      </c>
      <c r="B1" s="353"/>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3"/>
      <c r="AR1" s="353"/>
    </row>
    <row r="2" spans="1:72" ht="18" customHeight="1" x14ac:dyDescent="0.25">
      <c r="A2" s="353"/>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353"/>
      <c r="AI2" s="353"/>
      <c r="AJ2" s="353"/>
      <c r="AK2" s="353"/>
      <c r="AL2" s="353"/>
      <c r="AM2" s="353"/>
      <c r="AN2" s="353"/>
      <c r="AO2" s="353"/>
      <c r="AP2" s="353"/>
      <c r="AQ2" s="353"/>
      <c r="AR2" s="353"/>
    </row>
    <row r="3" spans="1:72" ht="14.45" customHeight="1" x14ac:dyDescent="0.25">
      <c r="A3" s="258" t="s">
        <v>166</v>
      </c>
      <c r="B3" s="258"/>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row>
    <row r="4" spans="1:72" ht="14.45" customHeight="1" x14ac:dyDescent="0.25">
      <c r="A4" s="258"/>
      <c r="B4" s="258"/>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row>
    <row r="5" spans="1:72" ht="28.15" customHeight="1" thickBot="1" x14ac:dyDescent="0.3">
      <c r="A5" s="258"/>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row>
    <row r="6" spans="1:72" ht="18" customHeight="1" x14ac:dyDescent="0.25">
      <c r="B6" s="139" t="s">
        <v>1</v>
      </c>
      <c r="C6" s="317"/>
      <c r="D6" s="287" t="s">
        <v>171</v>
      </c>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9"/>
      <c r="AS6" s="281" t="s">
        <v>236</v>
      </c>
      <c r="AT6" s="281"/>
      <c r="AU6" s="281"/>
      <c r="AV6" s="283">
        <v>42305</v>
      </c>
      <c r="AW6" s="283"/>
      <c r="AX6" s="283"/>
      <c r="AY6" s="283"/>
      <c r="AZ6" s="284"/>
    </row>
    <row r="7" spans="1:72" ht="18" customHeight="1" thickBot="1" x14ac:dyDescent="0.3">
      <c r="B7" s="141"/>
      <c r="C7" s="318"/>
      <c r="D7" s="290"/>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2"/>
      <c r="AS7" s="282"/>
      <c r="AT7" s="282"/>
      <c r="AU7" s="282"/>
      <c r="AV7" s="285"/>
      <c r="AW7" s="285"/>
      <c r="AX7" s="285"/>
      <c r="AY7" s="285"/>
      <c r="AZ7" s="286"/>
    </row>
    <row r="8" spans="1:72" ht="18" customHeight="1" thickBot="1" x14ac:dyDescent="0.3">
      <c r="AV8" s="23"/>
      <c r="AW8" s="23"/>
      <c r="AX8" s="23"/>
    </row>
    <row r="9" spans="1:72" ht="14.45" customHeight="1" x14ac:dyDescent="0.25">
      <c r="B9" s="352"/>
      <c r="C9" s="348" t="s">
        <v>170</v>
      </c>
      <c r="D9" s="349"/>
      <c r="E9" s="349"/>
      <c r="F9" s="349"/>
      <c r="G9" s="349"/>
      <c r="H9" s="349"/>
      <c r="I9" s="307" t="s">
        <v>179</v>
      </c>
      <c r="J9" s="307"/>
      <c r="K9" s="307"/>
      <c r="L9" s="319"/>
      <c r="M9" s="307" t="s">
        <v>172</v>
      </c>
      <c r="N9" s="307"/>
      <c r="O9" s="307"/>
      <c r="P9" s="307" t="s">
        <v>173</v>
      </c>
      <c r="Q9" s="307"/>
      <c r="R9" s="307"/>
      <c r="S9" s="307"/>
      <c r="T9" s="307" t="s">
        <v>174</v>
      </c>
      <c r="U9" s="307"/>
      <c r="V9" s="307"/>
      <c r="W9" s="307"/>
      <c r="X9" s="307" t="s">
        <v>175</v>
      </c>
      <c r="Y9" s="307"/>
      <c r="Z9" s="307"/>
      <c r="AA9" s="307" t="s">
        <v>176</v>
      </c>
      <c r="AB9" s="307"/>
      <c r="AC9" s="307"/>
      <c r="AD9" s="307"/>
      <c r="AE9" s="413" t="s">
        <v>8</v>
      </c>
      <c r="AF9" s="413"/>
      <c r="AG9" s="413"/>
      <c r="AH9" s="307" t="s">
        <v>177</v>
      </c>
      <c r="AI9" s="307"/>
      <c r="AJ9" s="307" t="s">
        <v>178</v>
      </c>
      <c r="AK9" s="307"/>
      <c r="AL9" s="307"/>
      <c r="AM9" s="413" t="s">
        <v>130</v>
      </c>
      <c r="AN9" s="413"/>
      <c r="AO9" s="413"/>
      <c r="AP9" s="415" t="s">
        <v>131</v>
      </c>
      <c r="AQ9" s="415"/>
      <c r="AR9" s="415"/>
      <c r="AS9" s="415"/>
      <c r="AT9" s="415"/>
      <c r="AU9" s="415"/>
      <c r="AV9" s="415"/>
      <c r="AW9" s="415"/>
      <c r="AX9" s="415"/>
      <c r="AY9" s="415"/>
      <c r="AZ9" s="416"/>
    </row>
    <row r="10" spans="1:72" ht="14.45" customHeight="1" x14ac:dyDescent="0.25">
      <c r="B10" s="237"/>
      <c r="C10" s="350"/>
      <c r="D10" s="351"/>
      <c r="E10" s="351"/>
      <c r="F10" s="351"/>
      <c r="G10" s="351"/>
      <c r="H10" s="351"/>
      <c r="I10" s="320"/>
      <c r="J10" s="320"/>
      <c r="K10" s="320"/>
      <c r="L10" s="320"/>
      <c r="M10" s="308"/>
      <c r="N10" s="308"/>
      <c r="O10" s="308"/>
      <c r="P10" s="308"/>
      <c r="Q10" s="308"/>
      <c r="R10" s="308"/>
      <c r="S10" s="308"/>
      <c r="T10" s="308"/>
      <c r="U10" s="308"/>
      <c r="V10" s="308"/>
      <c r="W10" s="308"/>
      <c r="X10" s="308"/>
      <c r="Y10" s="308"/>
      <c r="Z10" s="308"/>
      <c r="AA10" s="308"/>
      <c r="AB10" s="308"/>
      <c r="AC10" s="308"/>
      <c r="AD10" s="308"/>
      <c r="AE10" s="414"/>
      <c r="AF10" s="414"/>
      <c r="AG10" s="414"/>
      <c r="AH10" s="308"/>
      <c r="AI10" s="308"/>
      <c r="AJ10" s="308"/>
      <c r="AK10" s="308"/>
      <c r="AL10" s="308"/>
      <c r="AM10" s="414"/>
      <c r="AN10" s="414"/>
      <c r="AO10" s="414"/>
      <c r="AP10" s="417"/>
      <c r="AQ10" s="417"/>
      <c r="AR10" s="417"/>
      <c r="AS10" s="417"/>
      <c r="AT10" s="417"/>
      <c r="AU10" s="417"/>
      <c r="AV10" s="417"/>
      <c r="AW10" s="417"/>
      <c r="AX10" s="417"/>
      <c r="AY10" s="417"/>
      <c r="AZ10" s="418"/>
    </row>
    <row r="11" spans="1:72" s="9" customFormat="1" ht="15" customHeight="1" x14ac:dyDescent="0.25">
      <c r="B11" s="24">
        <f>IF(ISBLANK(C11),"",1)</f>
        <v>1</v>
      </c>
      <c r="C11" s="238" t="s">
        <v>312</v>
      </c>
      <c r="D11" s="238"/>
      <c r="E11" s="238"/>
      <c r="F11" s="238"/>
      <c r="G11" s="238"/>
      <c r="H11" s="238"/>
      <c r="I11" s="238" t="s">
        <v>13</v>
      </c>
      <c r="J11" s="238"/>
      <c r="K11" s="238"/>
      <c r="L11" s="320"/>
      <c r="M11" s="354"/>
      <c r="N11" s="354"/>
      <c r="O11" s="354"/>
      <c r="P11" s="324">
        <v>3949</v>
      </c>
      <c r="Q11" s="324"/>
      <c r="R11" s="324"/>
      <c r="S11" s="324"/>
      <c r="T11" s="321">
        <v>4000</v>
      </c>
      <c r="U11" s="321"/>
      <c r="V11" s="321"/>
      <c r="W11" s="321"/>
      <c r="X11" s="321">
        <v>135</v>
      </c>
      <c r="Y11" s="321"/>
      <c r="Z11" s="321"/>
      <c r="AA11" s="355">
        <f>T11-P11</f>
        <v>51</v>
      </c>
      <c r="AB11" s="355"/>
      <c r="AC11" s="355"/>
      <c r="AD11" s="355"/>
      <c r="AE11" s="358">
        <f>IFERROR(P11/T11,"")</f>
        <v>0.98724999999999996</v>
      </c>
      <c r="AF11" s="358"/>
      <c r="AG11" s="358"/>
      <c r="AH11" s="357" t="s">
        <v>120</v>
      </c>
      <c r="AI11" s="357"/>
      <c r="AJ11" s="238" t="s">
        <v>125</v>
      </c>
      <c r="AK11" s="238"/>
      <c r="AL11" s="238"/>
      <c r="AM11" s="322">
        <v>3949</v>
      </c>
      <c r="AN11" s="322"/>
      <c r="AO11" s="322"/>
      <c r="AP11" s="409" t="s">
        <v>230</v>
      </c>
      <c r="AQ11" s="409"/>
      <c r="AR11" s="409"/>
      <c r="AS11" s="409"/>
      <c r="AT11" s="409"/>
      <c r="AU11" s="409"/>
      <c r="AV11" s="409"/>
      <c r="AW11" s="409"/>
      <c r="AX11" s="409"/>
      <c r="AY11" s="409"/>
      <c r="AZ11" s="410"/>
    </row>
    <row r="12" spans="1:72" s="9" customFormat="1" ht="15" customHeight="1" x14ac:dyDescent="0.25">
      <c r="B12" s="24">
        <f>IF(ISBLANK(C12),"",2)</f>
        <v>2</v>
      </c>
      <c r="C12" s="238" t="s">
        <v>313</v>
      </c>
      <c r="D12" s="323"/>
      <c r="E12" s="323"/>
      <c r="F12" s="323"/>
      <c r="G12" s="323"/>
      <c r="H12" s="323"/>
      <c r="I12" s="238" t="s">
        <v>10</v>
      </c>
      <c r="J12" s="238"/>
      <c r="K12" s="238"/>
      <c r="L12" s="320"/>
      <c r="M12" s="354"/>
      <c r="N12" s="354"/>
      <c r="O12" s="356"/>
      <c r="P12" s="324">
        <v>19000</v>
      </c>
      <c r="Q12" s="324"/>
      <c r="R12" s="324"/>
      <c r="S12" s="325"/>
      <c r="T12" s="321">
        <v>19000</v>
      </c>
      <c r="U12" s="321"/>
      <c r="V12" s="321"/>
      <c r="W12" s="322"/>
      <c r="X12" s="321">
        <v>404</v>
      </c>
      <c r="Y12" s="321"/>
      <c r="Z12" s="322"/>
      <c r="AA12" s="355">
        <f t="shared" ref="AA12:AA25" si="0">T12-P12</f>
        <v>0</v>
      </c>
      <c r="AB12" s="355"/>
      <c r="AC12" s="355"/>
      <c r="AD12" s="355"/>
      <c r="AE12" s="358">
        <f t="shared" ref="AE12:AE30" si="1">IFERROR(P12/T12,"")</f>
        <v>1</v>
      </c>
      <c r="AF12" s="358"/>
      <c r="AG12" s="358"/>
      <c r="AH12" s="357" t="s">
        <v>120</v>
      </c>
      <c r="AI12" s="357"/>
      <c r="AJ12" s="238" t="s">
        <v>125</v>
      </c>
      <c r="AK12" s="238"/>
      <c r="AL12" s="238"/>
      <c r="AM12" s="322">
        <v>19000</v>
      </c>
      <c r="AN12" s="322"/>
      <c r="AO12" s="322"/>
      <c r="AP12" s="409" t="s">
        <v>230</v>
      </c>
      <c r="AQ12" s="409"/>
      <c r="AR12" s="409"/>
      <c r="AS12" s="409"/>
      <c r="AT12" s="409"/>
      <c r="AU12" s="409"/>
      <c r="AV12" s="409"/>
      <c r="AW12" s="409"/>
      <c r="AX12" s="409"/>
      <c r="AY12" s="409"/>
      <c r="AZ12" s="410"/>
    </row>
    <row r="13" spans="1:72" s="9" customFormat="1" x14ac:dyDescent="0.25">
      <c r="B13" s="24">
        <f>IF(ISBLANK(C13),"",3)</f>
        <v>3</v>
      </c>
      <c r="C13" s="238" t="s">
        <v>12</v>
      </c>
      <c r="D13" s="323"/>
      <c r="E13" s="323"/>
      <c r="F13" s="323"/>
      <c r="G13" s="323"/>
      <c r="H13" s="323"/>
      <c r="I13" s="238" t="s">
        <v>12</v>
      </c>
      <c r="J13" s="238"/>
      <c r="K13" s="238"/>
      <c r="L13" s="320"/>
      <c r="M13" s="354"/>
      <c r="N13" s="354"/>
      <c r="O13" s="356"/>
      <c r="P13" s="324">
        <v>1040</v>
      </c>
      <c r="Q13" s="324"/>
      <c r="R13" s="324"/>
      <c r="S13" s="325"/>
      <c r="T13" s="321">
        <v>1000</v>
      </c>
      <c r="U13" s="321"/>
      <c r="V13" s="321"/>
      <c r="W13" s="322"/>
      <c r="X13" s="321">
        <v>30</v>
      </c>
      <c r="Y13" s="321"/>
      <c r="Z13" s="322"/>
      <c r="AA13" s="355">
        <f t="shared" si="0"/>
        <v>-40</v>
      </c>
      <c r="AB13" s="355"/>
      <c r="AC13" s="355"/>
      <c r="AD13" s="355"/>
      <c r="AE13" s="358">
        <f t="shared" si="1"/>
        <v>1.04</v>
      </c>
      <c r="AF13" s="358"/>
      <c r="AG13" s="358"/>
      <c r="AH13" s="357" t="s">
        <v>120</v>
      </c>
      <c r="AI13" s="357"/>
      <c r="AJ13" s="238" t="s">
        <v>125</v>
      </c>
      <c r="AK13" s="238"/>
      <c r="AL13" s="238"/>
      <c r="AM13" s="322">
        <v>1040</v>
      </c>
      <c r="AN13" s="322"/>
      <c r="AO13" s="322"/>
      <c r="AP13" s="409" t="s">
        <v>237</v>
      </c>
      <c r="AQ13" s="409"/>
      <c r="AR13" s="409"/>
      <c r="AS13" s="409"/>
      <c r="AT13" s="409"/>
      <c r="AU13" s="409"/>
      <c r="AV13" s="409"/>
      <c r="AW13" s="409"/>
      <c r="AX13" s="409"/>
      <c r="AY13" s="409"/>
      <c r="AZ13" s="410"/>
      <c r="BB13" s="491"/>
      <c r="BC13" s="491"/>
      <c r="BD13" s="491"/>
    </row>
    <row r="14" spans="1:72" s="9" customFormat="1" ht="15" customHeight="1" x14ac:dyDescent="0.25">
      <c r="B14" s="24">
        <f>IF(ISBLANK(C14),"",4)</f>
        <v>4</v>
      </c>
      <c r="C14" s="238" t="s">
        <v>315</v>
      </c>
      <c r="D14" s="323"/>
      <c r="E14" s="323"/>
      <c r="F14" s="323"/>
      <c r="G14" s="323"/>
      <c r="H14" s="323"/>
      <c r="I14" s="238" t="s">
        <v>13</v>
      </c>
      <c r="J14" s="238"/>
      <c r="K14" s="238"/>
      <c r="L14" s="320"/>
      <c r="M14" s="354"/>
      <c r="N14" s="354"/>
      <c r="O14" s="356"/>
      <c r="P14" s="324">
        <v>1516</v>
      </c>
      <c r="Q14" s="324"/>
      <c r="R14" s="324"/>
      <c r="S14" s="325"/>
      <c r="T14" s="321">
        <v>1600</v>
      </c>
      <c r="U14" s="321"/>
      <c r="V14" s="321"/>
      <c r="W14" s="322"/>
      <c r="X14" s="321">
        <v>60</v>
      </c>
      <c r="Y14" s="321"/>
      <c r="Z14" s="322"/>
      <c r="AA14" s="355">
        <f>T14-P14</f>
        <v>84</v>
      </c>
      <c r="AB14" s="355"/>
      <c r="AC14" s="355"/>
      <c r="AD14" s="355"/>
      <c r="AE14" s="358">
        <f t="shared" si="1"/>
        <v>0.94750000000000001</v>
      </c>
      <c r="AF14" s="358"/>
      <c r="AG14" s="358"/>
      <c r="AH14" s="357" t="s">
        <v>120</v>
      </c>
      <c r="AI14" s="357"/>
      <c r="AJ14" s="238" t="s">
        <v>125</v>
      </c>
      <c r="AK14" s="238"/>
      <c r="AL14" s="238"/>
      <c r="AM14" s="322">
        <v>1516</v>
      </c>
      <c r="AN14" s="322"/>
      <c r="AO14" s="322"/>
      <c r="AP14" s="409" t="s">
        <v>230</v>
      </c>
      <c r="AQ14" s="409"/>
      <c r="AR14" s="409"/>
      <c r="AS14" s="409"/>
      <c r="AT14" s="409"/>
      <c r="AU14" s="409"/>
      <c r="AV14" s="409"/>
      <c r="AW14" s="409"/>
      <c r="AX14" s="409"/>
      <c r="AY14" s="409"/>
      <c r="AZ14" s="410"/>
    </row>
    <row r="15" spans="1:72" s="9" customFormat="1" ht="15" customHeight="1" x14ac:dyDescent="0.25">
      <c r="B15" s="24">
        <f>IF(ISBLANK(C15),"",5)</f>
        <v>5</v>
      </c>
      <c r="C15" s="238" t="s">
        <v>316</v>
      </c>
      <c r="D15" s="323"/>
      <c r="E15" s="323"/>
      <c r="F15" s="323"/>
      <c r="G15" s="323"/>
      <c r="H15" s="323"/>
      <c r="I15" s="238" t="s">
        <v>11</v>
      </c>
      <c r="J15" s="238"/>
      <c r="K15" s="238"/>
      <c r="L15" s="320"/>
      <c r="M15" s="354"/>
      <c r="N15" s="354"/>
      <c r="O15" s="356"/>
      <c r="P15" s="324">
        <v>2918</v>
      </c>
      <c r="Q15" s="324"/>
      <c r="R15" s="324"/>
      <c r="S15" s="325"/>
      <c r="T15" s="321">
        <v>3000</v>
      </c>
      <c r="U15" s="321"/>
      <c r="V15" s="321"/>
      <c r="W15" s="322"/>
      <c r="X15" s="321">
        <v>98</v>
      </c>
      <c r="Y15" s="321"/>
      <c r="Z15" s="322"/>
      <c r="AA15" s="355">
        <f t="shared" si="0"/>
        <v>82</v>
      </c>
      <c r="AB15" s="355"/>
      <c r="AC15" s="355"/>
      <c r="AD15" s="355"/>
      <c r="AE15" s="358">
        <f t="shared" si="1"/>
        <v>0.97266666666666668</v>
      </c>
      <c r="AF15" s="358"/>
      <c r="AG15" s="358"/>
      <c r="AH15" s="357" t="s">
        <v>120</v>
      </c>
      <c r="AI15" s="357"/>
      <c r="AJ15" s="238" t="s">
        <v>125</v>
      </c>
      <c r="AK15" s="238"/>
      <c r="AL15" s="238"/>
      <c r="AM15" s="322">
        <v>2918</v>
      </c>
      <c r="AN15" s="322"/>
      <c r="AO15" s="322"/>
      <c r="AP15" s="409" t="s">
        <v>230</v>
      </c>
      <c r="AQ15" s="409"/>
      <c r="AR15" s="409"/>
      <c r="AS15" s="409"/>
      <c r="AT15" s="409"/>
      <c r="AU15" s="409"/>
      <c r="AV15" s="409"/>
      <c r="AW15" s="409"/>
      <c r="AX15" s="409"/>
      <c r="AY15" s="409"/>
      <c r="AZ15" s="410"/>
    </row>
    <row r="16" spans="1:72" s="9" customFormat="1" ht="15" customHeight="1" x14ac:dyDescent="0.25">
      <c r="B16" s="24">
        <f>IF(ISBLANK(C16),"",6)</f>
        <v>6</v>
      </c>
      <c r="C16" s="238" t="s">
        <v>317</v>
      </c>
      <c r="D16" s="323"/>
      <c r="E16" s="323"/>
      <c r="F16" s="323"/>
      <c r="G16" s="323"/>
      <c r="H16" s="323"/>
      <c r="I16" s="238" t="s">
        <v>10</v>
      </c>
      <c r="J16" s="238"/>
      <c r="K16" s="238"/>
      <c r="L16" s="320"/>
      <c r="M16" s="354"/>
      <c r="N16" s="354"/>
      <c r="O16" s="356"/>
      <c r="P16" s="324">
        <v>7423</v>
      </c>
      <c r="Q16" s="324"/>
      <c r="R16" s="324"/>
      <c r="S16" s="325"/>
      <c r="T16" s="321">
        <v>7200</v>
      </c>
      <c r="U16" s="321"/>
      <c r="V16" s="321"/>
      <c r="W16" s="322"/>
      <c r="X16" s="321">
        <v>186</v>
      </c>
      <c r="Y16" s="321"/>
      <c r="Z16" s="322"/>
      <c r="AA16" s="355">
        <f t="shared" si="0"/>
        <v>-223</v>
      </c>
      <c r="AB16" s="355"/>
      <c r="AC16" s="355"/>
      <c r="AD16" s="355"/>
      <c r="AE16" s="358">
        <f t="shared" si="1"/>
        <v>1.0309722222222222</v>
      </c>
      <c r="AF16" s="358"/>
      <c r="AG16" s="358"/>
      <c r="AH16" s="357" t="s">
        <v>120</v>
      </c>
      <c r="AI16" s="357"/>
      <c r="AJ16" s="238" t="s">
        <v>125</v>
      </c>
      <c r="AK16" s="238"/>
      <c r="AL16" s="238"/>
      <c r="AM16" s="322">
        <v>7423</v>
      </c>
      <c r="AN16" s="322"/>
      <c r="AO16" s="322"/>
      <c r="AP16" s="409" t="s">
        <v>237</v>
      </c>
      <c r="AQ16" s="409"/>
      <c r="AR16" s="409"/>
      <c r="AS16" s="409"/>
      <c r="AT16" s="409"/>
      <c r="AU16" s="409"/>
      <c r="AV16" s="409"/>
      <c r="AW16" s="409"/>
      <c r="AX16" s="409"/>
      <c r="AY16" s="409"/>
      <c r="AZ16" s="410"/>
    </row>
    <row r="17" spans="2:52" s="9" customFormat="1" ht="15" customHeight="1" x14ac:dyDescent="0.25">
      <c r="B17" s="24">
        <f>IF(ISBLANK(C17),"",7)</f>
        <v>7</v>
      </c>
      <c r="C17" s="238" t="s">
        <v>318</v>
      </c>
      <c r="D17" s="323"/>
      <c r="E17" s="323"/>
      <c r="F17" s="323"/>
      <c r="G17" s="323"/>
      <c r="H17" s="323"/>
      <c r="I17" s="238" t="s">
        <v>11</v>
      </c>
      <c r="J17" s="238"/>
      <c r="K17" s="238"/>
      <c r="L17" s="320"/>
      <c r="M17" s="354"/>
      <c r="N17" s="354"/>
      <c r="O17" s="356"/>
      <c r="P17" s="324">
        <v>4531</v>
      </c>
      <c r="Q17" s="324"/>
      <c r="R17" s="324"/>
      <c r="S17" s="325"/>
      <c r="T17" s="321">
        <v>4000</v>
      </c>
      <c r="U17" s="321"/>
      <c r="V17" s="321"/>
      <c r="W17" s="322"/>
      <c r="X17" s="321">
        <v>235</v>
      </c>
      <c r="Y17" s="321"/>
      <c r="Z17" s="322"/>
      <c r="AA17" s="355">
        <f t="shared" si="0"/>
        <v>-531</v>
      </c>
      <c r="AB17" s="355"/>
      <c r="AC17" s="355"/>
      <c r="AD17" s="355"/>
      <c r="AE17" s="358">
        <f t="shared" si="1"/>
        <v>1.1327499999999999</v>
      </c>
      <c r="AF17" s="358"/>
      <c r="AG17" s="358"/>
      <c r="AH17" s="357" t="s">
        <v>123</v>
      </c>
      <c r="AI17" s="357"/>
      <c r="AJ17" s="238" t="s">
        <v>254</v>
      </c>
      <c r="AK17" s="238"/>
      <c r="AL17" s="238"/>
      <c r="AM17" s="322">
        <v>4531</v>
      </c>
      <c r="AN17" s="322"/>
      <c r="AO17" s="322"/>
      <c r="AP17" s="409" t="s">
        <v>230</v>
      </c>
      <c r="AQ17" s="409"/>
      <c r="AR17" s="409"/>
      <c r="AS17" s="409"/>
      <c r="AT17" s="409"/>
      <c r="AU17" s="409"/>
      <c r="AV17" s="409"/>
      <c r="AW17" s="409"/>
      <c r="AX17" s="409"/>
      <c r="AY17" s="409"/>
      <c r="AZ17" s="410"/>
    </row>
    <row r="18" spans="2:52" s="9" customFormat="1" ht="15" customHeight="1" x14ac:dyDescent="0.25">
      <c r="B18" s="24">
        <f>IF(ISBLANK(C18),"",8)</f>
        <v>8</v>
      </c>
      <c r="C18" s="238" t="s">
        <v>119</v>
      </c>
      <c r="D18" s="323"/>
      <c r="E18" s="323"/>
      <c r="F18" s="323"/>
      <c r="G18" s="323"/>
      <c r="H18" s="323"/>
      <c r="I18" s="238" t="s">
        <v>287</v>
      </c>
      <c r="J18" s="238"/>
      <c r="K18" s="238"/>
      <c r="L18" s="320"/>
      <c r="M18" s="354"/>
      <c r="N18" s="354"/>
      <c r="O18" s="356"/>
      <c r="P18" s="324">
        <v>3907.79</v>
      </c>
      <c r="Q18" s="324"/>
      <c r="R18" s="324"/>
      <c r="S18" s="325"/>
      <c r="T18" s="321">
        <v>0</v>
      </c>
      <c r="U18" s="321"/>
      <c r="V18" s="321"/>
      <c r="W18" s="322"/>
      <c r="X18" s="321"/>
      <c r="Y18" s="321"/>
      <c r="Z18" s="322"/>
      <c r="AA18" s="355">
        <f t="shared" si="0"/>
        <v>-3907.79</v>
      </c>
      <c r="AB18" s="355"/>
      <c r="AC18" s="355"/>
      <c r="AD18" s="355"/>
      <c r="AE18" s="358" t="str">
        <f t="shared" si="1"/>
        <v/>
      </c>
      <c r="AF18" s="358"/>
      <c r="AG18" s="358"/>
      <c r="AH18" s="357" t="s">
        <v>120</v>
      </c>
      <c r="AI18" s="357"/>
      <c r="AJ18" s="238" t="s">
        <v>122</v>
      </c>
      <c r="AK18" s="238"/>
      <c r="AL18" s="238"/>
      <c r="AM18" s="322">
        <v>3907.79</v>
      </c>
      <c r="AN18" s="322"/>
      <c r="AO18" s="322"/>
      <c r="AP18" s="409" t="s">
        <v>239</v>
      </c>
      <c r="AQ18" s="409"/>
      <c r="AR18" s="409"/>
      <c r="AS18" s="409"/>
      <c r="AT18" s="409"/>
      <c r="AU18" s="409"/>
      <c r="AV18" s="409"/>
      <c r="AW18" s="409"/>
      <c r="AX18" s="409"/>
      <c r="AY18" s="409"/>
      <c r="AZ18" s="410"/>
    </row>
    <row r="19" spans="2:52" s="9" customFormat="1" ht="15" customHeight="1" x14ac:dyDescent="0.25">
      <c r="B19" s="24" t="str">
        <f>IF(ISBLANK(C19),"",9)</f>
        <v/>
      </c>
      <c r="C19" s="238"/>
      <c r="D19" s="323"/>
      <c r="E19" s="323"/>
      <c r="F19" s="323"/>
      <c r="G19" s="323"/>
      <c r="H19" s="323"/>
      <c r="I19" s="238"/>
      <c r="J19" s="238"/>
      <c r="K19" s="238"/>
      <c r="L19" s="320"/>
      <c r="M19" s="354"/>
      <c r="N19" s="354"/>
      <c r="O19" s="356"/>
      <c r="P19" s="324"/>
      <c r="Q19" s="324"/>
      <c r="R19" s="324"/>
      <c r="S19" s="325"/>
      <c r="T19" s="321"/>
      <c r="U19" s="321"/>
      <c r="V19" s="321"/>
      <c r="W19" s="322"/>
      <c r="X19" s="321"/>
      <c r="Y19" s="321"/>
      <c r="Z19" s="322"/>
      <c r="AA19" s="355">
        <f t="shared" si="0"/>
        <v>0</v>
      </c>
      <c r="AB19" s="355"/>
      <c r="AC19" s="355"/>
      <c r="AD19" s="355"/>
      <c r="AE19" s="358" t="str">
        <f t="shared" si="1"/>
        <v/>
      </c>
      <c r="AF19" s="358"/>
      <c r="AG19" s="358"/>
      <c r="AH19" s="357"/>
      <c r="AI19" s="357"/>
      <c r="AJ19" s="238"/>
      <c r="AK19" s="238"/>
      <c r="AL19" s="238"/>
      <c r="AM19" s="322"/>
      <c r="AN19" s="322"/>
      <c r="AO19" s="322"/>
      <c r="AP19" s="409"/>
      <c r="AQ19" s="409"/>
      <c r="AR19" s="409"/>
      <c r="AS19" s="409"/>
      <c r="AT19" s="409"/>
      <c r="AU19" s="409"/>
      <c r="AV19" s="409"/>
      <c r="AW19" s="409"/>
      <c r="AX19" s="409"/>
      <c r="AY19" s="409"/>
      <c r="AZ19" s="410"/>
    </row>
    <row r="20" spans="2:52" s="9" customFormat="1" ht="15" customHeight="1" x14ac:dyDescent="0.25">
      <c r="B20" s="24" t="str">
        <f>IF(ISBLANK(C20),"",10)</f>
        <v/>
      </c>
      <c r="C20" s="238"/>
      <c r="D20" s="323"/>
      <c r="E20" s="323"/>
      <c r="F20" s="323"/>
      <c r="G20" s="323"/>
      <c r="H20" s="323"/>
      <c r="I20" s="238"/>
      <c r="J20" s="238"/>
      <c r="K20" s="238"/>
      <c r="L20" s="320"/>
      <c r="M20" s="354"/>
      <c r="N20" s="354"/>
      <c r="O20" s="356"/>
      <c r="P20" s="324"/>
      <c r="Q20" s="324"/>
      <c r="R20" s="324"/>
      <c r="S20" s="325"/>
      <c r="T20" s="321"/>
      <c r="U20" s="321"/>
      <c r="V20" s="321"/>
      <c r="W20" s="322"/>
      <c r="X20" s="321"/>
      <c r="Y20" s="321"/>
      <c r="Z20" s="322"/>
      <c r="AA20" s="355">
        <f t="shared" si="0"/>
        <v>0</v>
      </c>
      <c r="AB20" s="355"/>
      <c r="AC20" s="355"/>
      <c r="AD20" s="355"/>
      <c r="AE20" s="358" t="str">
        <f t="shared" si="1"/>
        <v/>
      </c>
      <c r="AF20" s="358"/>
      <c r="AG20" s="358"/>
      <c r="AH20" s="357"/>
      <c r="AI20" s="357"/>
      <c r="AJ20" s="238"/>
      <c r="AK20" s="238"/>
      <c r="AL20" s="238"/>
      <c r="AM20" s="322"/>
      <c r="AN20" s="322"/>
      <c r="AO20" s="322"/>
      <c r="AP20" s="409"/>
      <c r="AQ20" s="409"/>
      <c r="AR20" s="409"/>
      <c r="AS20" s="409"/>
      <c r="AT20" s="409"/>
      <c r="AU20" s="409"/>
      <c r="AV20" s="409"/>
      <c r="AW20" s="409"/>
      <c r="AX20" s="409"/>
      <c r="AY20" s="409"/>
      <c r="AZ20" s="410"/>
    </row>
    <row r="21" spans="2:52" s="9" customFormat="1" ht="15" customHeight="1" x14ac:dyDescent="0.25">
      <c r="B21" s="24" t="str">
        <f>IF(ISBLANK(C21),"",11)</f>
        <v/>
      </c>
      <c r="C21" s="238"/>
      <c r="D21" s="323"/>
      <c r="E21" s="323"/>
      <c r="F21" s="323"/>
      <c r="G21" s="323"/>
      <c r="H21" s="323"/>
      <c r="I21" s="238"/>
      <c r="J21" s="238"/>
      <c r="K21" s="238"/>
      <c r="L21" s="320"/>
      <c r="M21" s="354"/>
      <c r="N21" s="354"/>
      <c r="O21" s="356"/>
      <c r="P21" s="324"/>
      <c r="Q21" s="324"/>
      <c r="R21" s="324"/>
      <c r="S21" s="325"/>
      <c r="T21" s="321"/>
      <c r="U21" s="321"/>
      <c r="V21" s="321"/>
      <c r="W21" s="322"/>
      <c r="X21" s="321"/>
      <c r="Y21" s="321"/>
      <c r="Z21" s="322"/>
      <c r="AA21" s="355">
        <f t="shared" si="0"/>
        <v>0</v>
      </c>
      <c r="AB21" s="355"/>
      <c r="AC21" s="355"/>
      <c r="AD21" s="355"/>
      <c r="AE21" s="358" t="str">
        <f t="shared" si="1"/>
        <v/>
      </c>
      <c r="AF21" s="358"/>
      <c r="AG21" s="358"/>
      <c r="AH21" s="357"/>
      <c r="AI21" s="357"/>
      <c r="AJ21" s="238"/>
      <c r="AK21" s="238"/>
      <c r="AL21" s="238"/>
      <c r="AM21" s="322"/>
      <c r="AN21" s="322"/>
      <c r="AO21" s="322"/>
      <c r="AP21" s="409"/>
      <c r="AQ21" s="409"/>
      <c r="AR21" s="409"/>
      <c r="AS21" s="409"/>
      <c r="AT21" s="409"/>
      <c r="AU21" s="409"/>
      <c r="AV21" s="409"/>
      <c r="AW21" s="409"/>
      <c r="AX21" s="409"/>
      <c r="AY21" s="409"/>
      <c r="AZ21" s="410"/>
    </row>
    <row r="22" spans="2:52" s="9" customFormat="1" ht="15" customHeight="1" x14ac:dyDescent="0.25">
      <c r="B22" s="24" t="str">
        <f>IF(ISBLANK(C22),"",12)</f>
        <v/>
      </c>
      <c r="C22" s="238"/>
      <c r="D22" s="323"/>
      <c r="E22" s="323"/>
      <c r="F22" s="323"/>
      <c r="G22" s="323"/>
      <c r="H22" s="323"/>
      <c r="I22" s="238"/>
      <c r="J22" s="238"/>
      <c r="K22" s="238"/>
      <c r="L22" s="320"/>
      <c r="M22" s="354"/>
      <c r="N22" s="354"/>
      <c r="O22" s="356"/>
      <c r="P22" s="324"/>
      <c r="Q22" s="324"/>
      <c r="R22" s="324"/>
      <c r="S22" s="325"/>
      <c r="T22" s="321"/>
      <c r="U22" s="321"/>
      <c r="V22" s="321"/>
      <c r="W22" s="322"/>
      <c r="X22" s="321"/>
      <c r="Y22" s="321"/>
      <c r="Z22" s="322"/>
      <c r="AA22" s="355">
        <f t="shared" si="0"/>
        <v>0</v>
      </c>
      <c r="AB22" s="355"/>
      <c r="AC22" s="355"/>
      <c r="AD22" s="355"/>
      <c r="AE22" s="358" t="str">
        <f t="shared" si="1"/>
        <v/>
      </c>
      <c r="AF22" s="358"/>
      <c r="AG22" s="358"/>
      <c r="AH22" s="357"/>
      <c r="AI22" s="357"/>
      <c r="AJ22" s="238"/>
      <c r="AK22" s="238"/>
      <c r="AL22" s="238"/>
      <c r="AM22" s="322"/>
      <c r="AN22" s="322"/>
      <c r="AO22" s="322"/>
      <c r="AP22" s="409"/>
      <c r="AQ22" s="409"/>
      <c r="AR22" s="409"/>
      <c r="AS22" s="409"/>
      <c r="AT22" s="409"/>
      <c r="AU22" s="409"/>
      <c r="AV22" s="409"/>
      <c r="AW22" s="409"/>
      <c r="AX22" s="409"/>
      <c r="AY22" s="409"/>
      <c r="AZ22" s="410"/>
    </row>
    <row r="23" spans="2:52" s="9" customFormat="1" ht="15" customHeight="1" x14ac:dyDescent="0.25">
      <c r="B23" s="24" t="str">
        <f>IF(ISBLANK(C23),"",13)</f>
        <v/>
      </c>
      <c r="C23" s="238"/>
      <c r="D23" s="323"/>
      <c r="E23" s="323"/>
      <c r="F23" s="323"/>
      <c r="G23" s="323"/>
      <c r="H23" s="323"/>
      <c r="I23" s="238"/>
      <c r="J23" s="238"/>
      <c r="K23" s="238"/>
      <c r="L23" s="320"/>
      <c r="M23" s="354"/>
      <c r="N23" s="354"/>
      <c r="O23" s="356"/>
      <c r="P23" s="324"/>
      <c r="Q23" s="324"/>
      <c r="R23" s="324"/>
      <c r="S23" s="325"/>
      <c r="T23" s="321"/>
      <c r="U23" s="321"/>
      <c r="V23" s="321"/>
      <c r="W23" s="322"/>
      <c r="X23" s="321"/>
      <c r="Y23" s="321"/>
      <c r="Z23" s="322"/>
      <c r="AA23" s="355">
        <f t="shared" si="0"/>
        <v>0</v>
      </c>
      <c r="AB23" s="355"/>
      <c r="AC23" s="355"/>
      <c r="AD23" s="355"/>
      <c r="AE23" s="358" t="str">
        <f t="shared" si="1"/>
        <v/>
      </c>
      <c r="AF23" s="358"/>
      <c r="AG23" s="358"/>
      <c r="AH23" s="357"/>
      <c r="AI23" s="357"/>
      <c r="AJ23" s="238"/>
      <c r="AK23" s="238"/>
      <c r="AL23" s="238"/>
      <c r="AM23" s="322"/>
      <c r="AN23" s="322"/>
      <c r="AO23" s="322"/>
      <c r="AP23" s="409"/>
      <c r="AQ23" s="409"/>
      <c r="AR23" s="409"/>
      <c r="AS23" s="409"/>
      <c r="AT23" s="409"/>
      <c r="AU23" s="409"/>
      <c r="AV23" s="409"/>
      <c r="AW23" s="409"/>
      <c r="AX23" s="409"/>
      <c r="AY23" s="409"/>
      <c r="AZ23" s="410"/>
    </row>
    <row r="24" spans="2:52" s="9" customFormat="1" x14ac:dyDescent="0.25">
      <c r="B24" s="24" t="str">
        <f>IF(ISBLANK(C24),"",14)</f>
        <v/>
      </c>
      <c r="C24" s="238"/>
      <c r="D24" s="323"/>
      <c r="E24" s="323"/>
      <c r="F24" s="323"/>
      <c r="G24" s="323"/>
      <c r="H24" s="323"/>
      <c r="I24" s="238"/>
      <c r="J24" s="238"/>
      <c r="K24" s="238"/>
      <c r="L24" s="320"/>
      <c r="M24" s="354"/>
      <c r="N24" s="354"/>
      <c r="O24" s="356"/>
      <c r="P24" s="324"/>
      <c r="Q24" s="324"/>
      <c r="R24" s="324"/>
      <c r="S24" s="325"/>
      <c r="T24" s="321"/>
      <c r="U24" s="321"/>
      <c r="V24" s="321"/>
      <c r="W24" s="322"/>
      <c r="X24" s="321"/>
      <c r="Y24" s="321"/>
      <c r="Z24" s="322"/>
      <c r="AA24" s="355">
        <f t="shared" si="0"/>
        <v>0</v>
      </c>
      <c r="AB24" s="355"/>
      <c r="AC24" s="355"/>
      <c r="AD24" s="355"/>
      <c r="AE24" s="358" t="str">
        <f t="shared" si="1"/>
        <v/>
      </c>
      <c r="AF24" s="358"/>
      <c r="AG24" s="358"/>
      <c r="AH24" s="357"/>
      <c r="AI24" s="357"/>
      <c r="AJ24" s="238"/>
      <c r="AK24" s="238"/>
      <c r="AL24" s="238"/>
      <c r="AM24" s="322"/>
      <c r="AN24" s="322"/>
      <c r="AO24" s="322"/>
      <c r="AP24" s="409"/>
      <c r="AQ24" s="409"/>
      <c r="AR24" s="409"/>
      <c r="AS24" s="409"/>
      <c r="AT24" s="409"/>
      <c r="AU24" s="409"/>
      <c r="AV24" s="409"/>
      <c r="AW24" s="409"/>
      <c r="AX24" s="409"/>
      <c r="AY24" s="409"/>
      <c r="AZ24" s="410"/>
    </row>
    <row r="25" spans="2:52" s="9" customFormat="1" x14ac:dyDescent="0.25">
      <c r="B25" s="24" t="str">
        <f>IF(ISBLANK(C25),"",15)</f>
        <v/>
      </c>
      <c r="C25" s="238"/>
      <c r="D25" s="323"/>
      <c r="E25" s="323"/>
      <c r="F25" s="323"/>
      <c r="G25" s="323"/>
      <c r="H25" s="323"/>
      <c r="I25" s="238"/>
      <c r="J25" s="238"/>
      <c r="K25" s="238"/>
      <c r="L25" s="320"/>
      <c r="M25" s="354"/>
      <c r="N25" s="354"/>
      <c r="O25" s="356"/>
      <c r="P25" s="324"/>
      <c r="Q25" s="324"/>
      <c r="R25" s="324"/>
      <c r="S25" s="325"/>
      <c r="T25" s="321"/>
      <c r="U25" s="321"/>
      <c r="V25" s="321"/>
      <c r="W25" s="322"/>
      <c r="X25" s="321"/>
      <c r="Y25" s="321"/>
      <c r="Z25" s="322"/>
      <c r="AA25" s="355">
        <f t="shared" si="0"/>
        <v>0</v>
      </c>
      <c r="AB25" s="355"/>
      <c r="AC25" s="355"/>
      <c r="AD25" s="355"/>
      <c r="AE25" s="358" t="str">
        <f t="shared" si="1"/>
        <v/>
      </c>
      <c r="AF25" s="358"/>
      <c r="AG25" s="358"/>
      <c r="AH25" s="357"/>
      <c r="AI25" s="357"/>
      <c r="AJ25" s="238"/>
      <c r="AK25" s="238"/>
      <c r="AL25" s="238"/>
      <c r="AM25" s="322"/>
      <c r="AN25" s="322"/>
      <c r="AO25" s="322"/>
      <c r="AP25" s="409"/>
      <c r="AQ25" s="409"/>
      <c r="AR25" s="409"/>
      <c r="AS25" s="409"/>
      <c r="AT25" s="409"/>
      <c r="AU25" s="409"/>
      <c r="AV25" s="409"/>
      <c r="AW25" s="409"/>
      <c r="AX25" s="409"/>
      <c r="AY25" s="409"/>
      <c r="AZ25" s="410"/>
    </row>
    <row r="26" spans="2:52" s="9" customFormat="1" x14ac:dyDescent="0.25">
      <c r="B26" s="24" t="str">
        <f>IF(ISBLANK(C26),"",16)</f>
        <v/>
      </c>
      <c r="C26" s="238"/>
      <c r="D26" s="323"/>
      <c r="E26" s="323"/>
      <c r="F26" s="323"/>
      <c r="G26" s="323"/>
      <c r="H26" s="323"/>
      <c r="I26" s="238"/>
      <c r="J26" s="238"/>
      <c r="K26" s="238"/>
      <c r="L26" s="320"/>
      <c r="M26" s="354"/>
      <c r="N26" s="354"/>
      <c r="O26" s="356"/>
      <c r="P26" s="324"/>
      <c r="Q26" s="324"/>
      <c r="R26" s="324"/>
      <c r="S26" s="325"/>
      <c r="T26" s="321"/>
      <c r="U26" s="321"/>
      <c r="V26" s="321"/>
      <c r="W26" s="322"/>
      <c r="X26" s="321"/>
      <c r="Y26" s="321"/>
      <c r="Z26" s="322"/>
      <c r="AA26" s="355">
        <f t="shared" ref="AA26:AA30" si="2">T26-P26</f>
        <v>0</v>
      </c>
      <c r="AB26" s="355"/>
      <c r="AC26" s="355"/>
      <c r="AD26" s="355"/>
      <c r="AE26" s="358" t="str">
        <f t="shared" si="1"/>
        <v/>
      </c>
      <c r="AF26" s="358"/>
      <c r="AG26" s="358"/>
      <c r="AH26" s="357"/>
      <c r="AI26" s="357"/>
      <c r="AJ26" s="238"/>
      <c r="AK26" s="238"/>
      <c r="AL26" s="238"/>
      <c r="AM26" s="322"/>
      <c r="AN26" s="322"/>
      <c r="AO26" s="322"/>
      <c r="AP26" s="409"/>
      <c r="AQ26" s="409"/>
      <c r="AR26" s="409"/>
      <c r="AS26" s="409"/>
      <c r="AT26" s="409"/>
      <c r="AU26" s="409"/>
      <c r="AV26" s="409"/>
      <c r="AW26" s="409"/>
      <c r="AX26" s="409"/>
      <c r="AY26" s="409"/>
      <c r="AZ26" s="410"/>
    </row>
    <row r="27" spans="2:52" s="9" customFormat="1" x14ac:dyDescent="0.25">
      <c r="B27" s="24" t="str">
        <f>IF(ISBLANK(C27),"",17)</f>
        <v/>
      </c>
      <c r="C27" s="238"/>
      <c r="D27" s="323"/>
      <c r="E27" s="323"/>
      <c r="F27" s="323"/>
      <c r="G27" s="323"/>
      <c r="H27" s="323"/>
      <c r="I27" s="238"/>
      <c r="J27" s="238"/>
      <c r="K27" s="238"/>
      <c r="L27" s="320"/>
      <c r="M27" s="354"/>
      <c r="N27" s="354"/>
      <c r="O27" s="356"/>
      <c r="P27" s="324"/>
      <c r="Q27" s="324"/>
      <c r="R27" s="324"/>
      <c r="S27" s="325"/>
      <c r="T27" s="321"/>
      <c r="U27" s="321"/>
      <c r="V27" s="321"/>
      <c r="W27" s="322"/>
      <c r="X27" s="321"/>
      <c r="Y27" s="321"/>
      <c r="Z27" s="322"/>
      <c r="AA27" s="355">
        <f t="shared" si="2"/>
        <v>0</v>
      </c>
      <c r="AB27" s="355"/>
      <c r="AC27" s="355"/>
      <c r="AD27" s="355"/>
      <c r="AE27" s="358" t="str">
        <f t="shared" si="1"/>
        <v/>
      </c>
      <c r="AF27" s="358"/>
      <c r="AG27" s="358"/>
      <c r="AH27" s="357"/>
      <c r="AI27" s="357"/>
      <c r="AJ27" s="238"/>
      <c r="AK27" s="238"/>
      <c r="AL27" s="238"/>
      <c r="AM27" s="322"/>
      <c r="AN27" s="322"/>
      <c r="AO27" s="322"/>
      <c r="AP27" s="409"/>
      <c r="AQ27" s="409"/>
      <c r="AR27" s="409"/>
      <c r="AS27" s="409"/>
      <c r="AT27" s="409"/>
      <c r="AU27" s="409"/>
      <c r="AV27" s="409"/>
      <c r="AW27" s="409"/>
      <c r="AX27" s="409"/>
      <c r="AY27" s="409"/>
      <c r="AZ27" s="410"/>
    </row>
    <row r="28" spans="2:52" s="9" customFormat="1" x14ac:dyDescent="0.25">
      <c r="B28" s="24" t="str">
        <f>IF(ISBLANK(C28),"",18)</f>
        <v/>
      </c>
      <c r="C28" s="238"/>
      <c r="D28" s="323"/>
      <c r="E28" s="323"/>
      <c r="F28" s="323"/>
      <c r="G28" s="323"/>
      <c r="H28" s="323"/>
      <c r="I28" s="238"/>
      <c r="J28" s="238"/>
      <c r="K28" s="238"/>
      <c r="L28" s="320"/>
      <c r="M28" s="354"/>
      <c r="N28" s="354"/>
      <c r="O28" s="356"/>
      <c r="P28" s="324"/>
      <c r="Q28" s="324"/>
      <c r="R28" s="324"/>
      <c r="S28" s="325"/>
      <c r="T28" s="321"/>
      <c r="U28" s="321"/>
      <c r="V28" s="321"/>
      <c r="W28" s="322"/>
      <c r="X28" s="321"/>
      <c r="Y28" s="321"/>
      <c r="Z28" s="322"/>
      <c r="AA28" s="355">
        <f t="shared" si="2"/>
        <v>0</v>
      </c>
      <c r="AB28" s="355"/>
      <c r="AC28" s="355"/>
      <c r="AD28" s="355"/>
      <c r="AE28" s="358" t="str">
        <f t="shared" si="1"/>
        <v/>
      </c>
      <c r="AF28" s="358"/>
      <c r="AG28" s="358"/>
      <c r="AH28" s="357"/>
      <c r="AI28" s="357"/>
      <c r="AJ28" s="238"/>
      <c r="AK28" s="238"/>
      <c r="AL28" s="238"/>
      <c r="AM28" s="322"/>
      <c r="AN28" s="322"/>
      <c r="AO28" s="322"/>
      <c r="AP28" s="409"/>
      <c r="AQ28" s="409"/>
      <c r="AR28" s="409"/>
      <c r="AS28" s="409"/>
      <c r="AT28" s="409"/>
      <c r="AU28" s="409"/>
      <c r="AV28" s="409"/>
      <c r="AW28" s="409"/>
      <c r="AX28" s="409"/>
      <c r="AY28" s="409"/>
      <c r="AZ28" s="410"/>
    </row>
    <row r="29" spans="2:52" s="9" customFormat="1" x14ac:dyDescent="0.25">
      <c r="B29" s="24" t="str">
        <f>IF(ISBLANK(C29),"",19)</f>
        <v/>
      </c>
      <c r="C29" s="238"/>
      <c r="D29" s="323"/>
      <c r="E29" s="323"/>
      <c r="F29" s="323"/>
      <c r="G29" s="323"/>
      <c r="H29" s="323"/>
      <c r="I29" s="238"/>
      <c r="J29" s="238"/>
      <c r="K29" s="238"/>
      <c r="L29" s="320"/>
      <c r="M29" s="354"/>
      <c r="N29" s="354"/>
      <c r="O29" s="356"/>
      <c r="P29" s="324"/>
      <c r="Q29" s="324"/>
      <c r="R29" s="324"/>
      <c r="S29" s="325"/>
      <c r="T29" s="321"/>
      <c r="U29" s="321"/>
      <c r="V29" s="321"/>
      <c r="W29" s="322"/>
      <c r="X29" s="321"/>
      <c r="Y29" s="321"/>
      <c r="Z29" s="322"/>
      <c r="AA29" s="355">
        <f t="shared" si="2"/>
        <v>0</v>
      </c>
      <c r="AB29" s="355"/>
      <c r="AC29" s="355"/>
      <c r="AD29" s="355"/>
      <c r="AE29" s="358" t="str">
        <f t="shared" si="1"/>
        <v/>
      </c>
      <c r="AF29" s="358"/>
      <c r="AG29" s="358"/>
      <c r="AH29" s="357"/>
      <c r="AI29" s="357"/>
      <c r="AJ29" s="238"/>
      <c r="AK29" s="238"/>
      <c r="AL29" s="238"/>
      <c r="AM29" s="322"/>
      <c r="AN29" s="322"/>
      <c r="AO29" s="322"/>
      <c r="AP29" s="409"/>
      <c r="AQ29" s="409"/>
      <c r="AR29" s="409"/>
      <c r="AS29" s="409"/>
      <c r="AT29" s="409"/>
      <c r="AU29" s="409"/>
      <c r="AV29" s="409"/>
      <c r="AW29" s="409"/>
      <c r="AX29" s="409"/>
      <c r="AY29" s="409"/>
      <c r="AZ29" s="410"/>
    </row>
    <row r="30" spans="2:52" s="9" customFormat="1" ht="15.75" thickBot="1" x14ac:dyDescent="0.3">
      <c r="B30" s="25" t="str">
        <f>IF(ISBLANK(C30),"",20)</f>
        <v/>
      </c>
      <c r="C30" s="398"/>
      <c r="D30" s="399"/>
      <c r="E30" s="399"/>
      <c r="F30" s="399"/>
      <c r="G30" s="399"/>
      <c r="H30" s="399"/>
      <c r="I30" s="398"/>
      <c r="J30" s="398"/>
      <c r="K30" s="398"/>
      <c r="L30" s="400"/>
      <c r="M30" s="401"/>
      <c r="N30" s="401"/>
      <c r="O30" s="402"/>
      <c r="P30" s="403"/>
      <c r="Q30" s="403"/>
      <c r="R30" s="403"/>
      <c r="S30" s="404"/>
      <c r="T30" s="405"/>
      <c r="U30" s="405"/>
      <c r="V30" s="405"/>
      <c r="W30" s="406"/>
      <c r="X30" s="405"/>
      <c r="Y30" s="405"/>
      <c r="Z30" s="406"/>
      <c r="AA30" s="407">
        <f t="shared" si="2"/>
        <v>0</v>
      </c>
      <c r="AB30" s="407"/>
      <c r="AC30" s="407"/>
      <c r="AD30" s="407"/>
      <c r="AE30" s="359" t="str">
        <f t="shared" si="1"/>
        <v/>
      </c>
      <c r="AF30" s="359"/>
      <c r="AG30" s="359"/>
      <c r="AH30" s="408"/>
      <c r="AI30" s="408"/>
      <c r="AJ30" s="398"/>
      <c r="AK30" s="398"/>
      <c r="AL30" s="398"/>
      <c r="AM30" s="406"/>
      <c r="AN30" s="406"/>
      <c r="AO30" s="406"/>
      <c r="AP30" s="411"/>
      <c r="AQ30" s="411"/>
      <c r="AR30" s="411"/>
      <c r="AS30" s="411"/>
      <c r="AT30" s="411"/>
      <c r="AU30" s="411"/>
      <c r="AV30" s="411"/>
      <c r="AW30" s="411"/>
      <c r="AX30" s="411"/>
      <c r="AY30" s="411"/>
      <c r="AZ30" s="412"/>
    </row>
    <row r="31" spans="2:52" s="9" customFormat="1" ht="18" customHeight="1" thickBot="1" x14ac:dyDescent="0.3">
      <c r="B31" s="50"/>
      <c r="C31" s="336" t="s">
        <v>262</v>
      </c>
      <c r="D31" s="337"/>
      <c r="E31" s="337"/>
      <c r="F31" s="337"/>
      <c r="G31" s="337"/>
      <c r="H31" s="337"/>
      <c r="I31" s="337"/>
      <c r="J31" s="337"/>
      <c r="K31" s="337"/>
      <c r="L31" s="337"/>
      <c r="M31" s="340" t="s">
        <v>129</v>
      </c>
      <c r="N31" s="340"/>
      <c r="O31" s="341"/>
      <c r="P31" s="338">
        <f>SUM(P11:S30)</f>
        <v>44284.79</v>
      </c>
      <c r="Q31" s="338"/>
      <c r="R31" s="338"/>
      <c r="S31" s="338"/>
      <c r="T31" s="339">
        <f>SUM(T11:W30)</f>
        <v>39800</v>
      </c>
      <c r="U31" s="339"/>
      <c r="V31" s="339"/>
      <c r="W31" s="339"/>
      <c r="X31" s="339">
        <f>SUM(X11:Z30)</f>
        <v>1148</v>
      </c>
      <c r="Y31" s="339"/>
      <c r="Z31" s="339"/>
      <c r="AA31" s="339">
        <f>SUM(AA11:AD30)</f>
        <v>-4484.79</v>
      </c>
      <c r="AB31" s="339"/>
      <c r="AC31" s="339"/>
      <c r="AD31" s="339"/>
      <c r="AE31" s="360">
        <f>AVERAGE(AE11:AG30)</f>
        <v>1.0158769841269841</v>
      </c>
      <c r="AF31" s="360"/>
      <c r="AG31" s="361"/>
      <c r="AH31" s="51"/>
      <c r="AI31" s="52"/>
      <c r="AJ31" s="52"/>
      <c r="AK31" s="52"/>
      <c r="AL31" s="53"/>
      <c r="AM31" s="430">
        <f>SUM(AM11:AO30)</f>
        <v>44284.79</v>
      </c>
      <c r="AN31" s="431"/>
      <c r="AO31" s="432"/>
      <c r="AP31" s="51"/>
      <c r="AQ31" s="52"/>
      <c r="AR31" s="52"/>
      <c r="AS31" s="52"/>
      <c r="AT31" s="52"/>
      <c r="AU31" s="52"/>
      <c r="AV31" s="52"/>
      <c r="AW31" s="52"/>
      <c r="AX31" s="52"/>
      <c r="AY31" s="52"/>
      <c r="AZ31" s="52"/>
    </row>
    <row r="32" spans="2:52" ht="18" customHeight="1" x14ac:dyDescent="0.25">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row>
    <row r="33" spans="2:52" ht="18" customHeight="1" thickBot="1" x14ac:dyDescent="0.3"/>
    <row r="34" spans="2:52" ht="18" customHeight="1" x14ac:dyDescent="0.25">
      <c r="B34" s="139" t="s">
        <v>2</v>
      </c>
      <c r="C34" s="140"/>
      <c r="D34" s="342" t="s">
        <v>180</v>
      </c>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4"/>
    </row>
    <row r="35" spans="2:52" ht="18" customHeight="1" thickBot="1" x14ac:dyDescent="0.3">
      <c r="B35" s="141"/>
      <c r="C35" s="142"/>
      <c r="D35" s="345"/>
      <c r="E35" s="346"/>
      <c r="F35" s="346"/>
      <c r="G35" s="346"/>
      <c r="H35" s="346"/>
      <c r="I35" s="346"/>
      <c r="J35" s="346"/>
      <c r="K35" s="346"/>
      <c r="L35" s="346"/>
      <c r="M35" s="346"/>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346"/>
      <c r="AY35" s="346"/>
      <c r="AZ35" s="347"/>
    </row>
    <row r="36" spans="2:52" ht="15" customHeight="1" thickBot="1" x14ac:dyDescent="0.3">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row>
    <row r="37" spans="2:52" ht="14.45" customHeight="1" x14ac:dyDescent="0.25">
      <c r="B37" s="419" t="s">
        <v>181</v>
      </c>
      <c r="C37" s="420"/>
      <c r="D37" s="420"/>
      <c r="E37" s="420"/>
      <c r="F37" s="420"/>
      <c r="G37" s="420"/>
      <c r="H37" s="420"/>
      <c r="I37" s="423">
        <v>345000</v>
      </c>
      <c r="J37" s="423"/>
      <c r="K37" s="423"/>
      <c r="L37" s="423"/>
      <c r="M37" s="423"/>
      <c r="N37" s="423"/>
      <c r="O37" s="423"/>
      <c r="P37" s="423"/>
      <c r="Q37" s="424"/>
      <c r="W37" s="68"/>
      <c r="X37" s="68"/>
      <c r="Y37" s="68"/>
      <c r="Z37" s="68"/>
      <c r="AA37" s="68"/>
      <c r="AB37" s="68"/>
      <c r="AC37" s="68"/>
    </row>
    <row r="38" spans="2:52" ht="14.45" customHeight="1" thickBot="1" x14ac:dyDescent="0.3">
      <c r="B38" s="421"/>
      <c r="C38" s="422"/>
      <c r="D38" s="422"/>
      <c r="E38" s="422"/>
      <c r="F38" s="422"/>
      <c r="G38" s="422"/>
      <c r="H38" s="422"/>
      <c r="I38" s="425"/>
      <c r="J38" s="425"/>
      <c r="K38" s="425"/>
      <c r="L38" s="425"/>
      <c r="M38" s="425"/>
      <c r="N38" s="425"/>
      <c r="O38" s="425"/>
      <c r="P38" s="425"/>
      <c r="Q38" s="426"/>
    </row>
    <row r="39" spans="2:52" ht="16.5" customHeight="1" thickBot="1" x14ac:dyDescent="0.3">
      <c r="B39" s="246"/>
      <c r="C39" s="246"/>
      <c r="D39" s="246"/>
      <c r="E39" s="246"/>
      <c r="F39" s="246"/>
      <c r="G39" s="246"/>
      <c r="H39" s="246"/>
      <c r="AE39" s="67" t="b">
        <v>1</v>
      </c>
      <c r="AF39" s="224"/>
      <c r="AG39" s="225"/>
      <c r="AH39" s="226"/>
    </row>
    <row r="40" spans="2:52" ht="14.45" customHeight="1" x14ac:dyDescent="0.25">
      <c r="B40" s="242" t="s">
        <v>191</v>
      </c>
      <c r="C40" s="150"/>
      <c r="D40" s="143" t="s">
        <v>188</v>
      </c>
      <c r="E40" s="144"/>
      <c r="F40" s="144"/>
      <c r="G40" s="144"/>
      <c r="H40" s="144"/>
      <c r="I40" s="144"/>
      <c r="J40" s="144"/>
      <c r="K40" s="144"/>
      <c r="L40" s="144"/>
      <c r="M40" s="144"/>
      <c r="N40" s="144"/>
      <c r="O40" s="144"/>
      <c r="P40" s="144"/>
      <c r="Q40" s="145"/>
      <c r="S40" s="242" t="s">
        <v>187</v>
      </c>
      <c r="T40" s="150"/>
      <c r="U40" s="143" t="s">
        <v>189</v>
      </c>
      <c r="V40" s="144"/>
      <c r="W40" s="144"/>
      <c r="X40" s="144"/>
      <c r="Y40" s="144"/>
      <c r="Z40" s="144"/>
      <c r="AA40" s="144"/>
      <c r="AB40" s="144"/>
      <c r="AC40" s="144"/>
      <c r="AD40" s="144"/>
      <c r="AE40" s="144"/>
      <c r="AF40" s="218" t="str">
        <f>IF(AE39,"YES","NO")</f>
        <v>YES</v>
      </c>
      <c r="AG40" s="219"/>
      <c r="AH40" s="220"/>
      <c r="AJ40" s="242" t="s">
        <v>190</v>
      </c>
      <c r="AK40" s="150"/>
      <c r="AL40" s="143" t="str">
        <f>IF(AE39,"TOTAL CURRENT (FIRST + SECOND)","TOTAL CURRENT (FIRST)")</f>
        <v>TOTAL CURRENT (FIRST + SECOND)</v>
      </c>
      <c r="AM40" s="144"/>
      <c r="AN40" s="144"/>
      <c r="AO40" s="144"/>
      <c r="AP40" s="144"/>
      <c r="AQ40" s="144"/>
      <c r="AR40" s="144"/>
      <c r="AS40" s="144"/>
      <c r="AT40" s="144"/>
      <c r="AU40" s="144"/>
      <c r="AV40" s="144"/>
      <c r="AW40" s="144"/>
      <c r="AX40" s="144"/>
      <c r="AY40" s="144"/>
      <c r="AZ40" s="145"/>
    </row>
    <row r="41" spans="2:52" ht="15" customHeight="1" thickBot="1" x14ac:dyDescent="0.3">
      <c r="B41" s="259"/>
      <c r="C41" s="153"/>
      <c r="D41" s="146"/>
      <c r="E41" s="147"/>
      <c r="F41" s="147"/>
      <c r="G41" s="147"/>
      <c r="H41" s="147"/>
      <c r="I41" s="147"/>
      <c r="J41" s="147"/>
      <c r="K41" s="147"/>
      <c r="L41" s="147"/>
      <c r="M41" s="147"/>
      <c r="N41" s="147"/>
      <c r="O41" s="147"/>
      <c r="P41" s="147"/>
      <c r="Q41" s="148"/>
      <c r="S41" s="259"/>
      <c r="T41" s="153"/>
      <c r="U41" s="146"/>
      <c r="V41" s="147"/>
      <c r="W41" s="147"/>
      <c r="X41" s="147"/>
      <c r="Y41" s="147"/>
      <c r="Z41" s="147"/>
      <c r="AA41" s="147"/>
      <c r="AB41" s="147"/>
      <c r="AC41" s="147"/>
      <c r="AD41" s="147"/>
      <c r="AE41" s="147"/>
      <c r="AF41" s="221"/>
      <c r="AG41" s="222"/>
      <c r="AH41" s="223"/>
      <c r="AJ41" s="259"/>
      <c r="AK41" s="153"/>
      <c r="AL41" s="146"/>
      <c r="AM41" s="147"/>
      <c r="AN41" s="147"/>
      <c r="AO41" s="147"/>
      <c r="AP41" s="147"/>
      <c r="AQ41" s="147"/>
      <c r="AR41" s="147"/>
      <c r="AS41" s="147"/>
      <c r="AT41" s="147"/>
      <c r="AU41" s="147"/>
      <c r="AV41" s="147"/>
      <c r="AW41" s="147"/>
      <c r="AX41" s="147"/>
      <c r="AY41" s="147"/>
      <c r="AZ41" s="148"/>
    </row>
    <row r="42" spans="2:52" ht="15.75" thickBot="1" x14ac:dyDescent="0.3">
      <c r="B42" s="326" t="s">
        <v>192</v>
      </c>
      <c r="C42" s="327"/>
      <c r="D42" s="327"/>
      <c r="E42" s="327"/>
      <c r="F42" s="327"/>
      <c r="G42" s="327"/>
      <c r="H42" s="327"/>
      <c r="I42" s="427" t="s">
        <v>314</v>
      </c>
      <c r="J42" s="428"/>
      <c r="K42" s="428"/>
      <c r="L42" s="428"/>
      <c r="M42" s="428"/>
      <c r="N42" s="428"/>
      <c r="O42" s="428"/>
      <c r="P42" s="428"/>
      <c r="Q42" s="429"/>
      <c r="S42" s="326" t="s">
        <v>192</v>
      </c>
      <c r="T42" s="327"/>
      <c r="U42" s="327"/>
      <c r="V42" s="327"/>
      <c r="W42" s="327"/>
      <c r="X42" s="327"/>
      <c r="Y42" s="327"/>
      <c r="Z42" s="433"/>
      <c r="AA42" s="433"/>
      <c r="AB42" s="433"/>
      <c r="AC42" s="433"/>
      <c r="AD42" s="433"/>
      <c r="AE42" s="433"/>
      <c r="AF42" s="433"/>
      <c r="AG42" s="433"/>
      <c r="AH42" s="434"/>
      <c r="AJ42" s="494" t="s">
        <v>183</v>
      </c>
      <c r="AK42" s="495"/>
      <c r="AL42" s="495"/>
      <c r="AM42" s="495"/>
      <c r="AN42" s="495"/>
      <c r="AO42" s="495"/>
      <c r="AP42" s="495"/>
      <c r="AQ42" s="495"/>
      <c r="AR42" s="496"/>
      <c r="AS42" s="527">
        <f>IF(AE39,$I$43+$Z$43,$I$43)</f>
        <v>204000</v>
      </c>
      <c r="AT42" s="528"/>
      <c r="AU42" s="528"/>
      <c r="AV42" s="528"/>
      <c r="AW42" s="528"/>
      <c r="AX42" s="528"/>
      <c r="AY42" s="528"/>
      <c r="AZ42" s="529"/>
    </row>
    <row r="43" spans="2:52" x14ac:dyDescent="0.25">
      <c r="B43" s="245" t="s">
        <v>183</v>
      </c>
      <c r="C43" s="246"/>
      <c r="D43" s="246"/>
      <c r="E43" s="246"/>
      <c r="F43" s="246"/>
      <c r="G43" s="246"/>
      <c r="H43" s="246"/>
      <c r="I43" s="331">
        <v>204000</v>
      </c>
      <c r="J43" s="332"/>
      <c r="K43" s="332"/>
      <c r="L43" s="332"/>
      <c r="M43" s="332"/>
      <c r="N43" s="332"/>
      <c r="O43" s="332"/>
      <c r="P43" s="332"/>
      <c r="Q43" s="333"/>
      <c r="S43" s="245" t="s">
        <v>183</v>
      </c>
      <c r="T43" s="246"/>
      <c r="U43" s="246"/>
      <c r="V43" s="246"/>
      <c r="W43" s="246"/>
      <c r="X43" s="246"/>
      <c r="Y43" s="246"/>
      <c r="Z43" s="435"/>
      <c r="AA43" s="436"/>
      <c r="AB43" s="436"/>
      <c r="AC43" s="436"/>
      <c r="AD43" s="436"/>
      <c r="AE43" s="436"/>
      <c r="AF43" s="436"/>
      <c r="AG43" s="436"/>
      <c r="AH43" s="437"/>
      <c r="AJ43" s="497" t="s">
        <v>193</v>
      </c>
      <c r="AK43" s="498"/>
      <c r="AL43" s="498"/>
      <c r="AM43" s="498"/>
      <c r="AN43" s="498"/>
      <c r="AO43" s="498"/>
      <c r="AP43" s="498"/>
      <c r="AQ43" s="498"/>
      <c r="AR43" s="499"/>
      <c r="AS43" s="530">
        <f>IFERROR(IF(AE39,(($I$43*$I$45)+($Z$43*$Z$45))/($I$43+$Z$43),0),0)</f>
        <v>2.6400000000000003E-2</v>
      </c>
      <c r="AT43" s="531"/>
      <c r="AU43" s="531"/>
      <c r="AV43" s="531"/>
      <c r="AW43" s="531"/>
      <c r="AX43" s="531"/>
      <c r="AY43" s="531"/>
      <c r="AZ43" s="532"/>
    </row>
    <row r="44" spans="2:52" x14ac:dyDescent="0.25">
      <c r="B44" s="245" t="s">
        <v>182</v>
      </c>
      <c r="C44" s="246"/>
      <c r="D44" s="246"/>
      <c r="E44" s="246"/>
      <c r="F44" s="246"/>
      <c r="G44" s="246"/>
      <c r="H44" s="246"/>
      <c r="I44" s="386">
        <v>42278</v>
      </c>
      <c r="J44" s="387"/>
      <c r="K44" s="387"/>
      <c r="L44" s="387"/>
      <c r="M44" s="387"/>
      <c r="N44" s="387"/>
      <c r="O44" s="387"/>
      <c r="P44" s="387"/>
      <c r="Q44" s="388"/>
      <c r="S44" s="245" t="s">
        <v>182</v>
      </c>
      <c r="T44" s="246"/>
      <c r="U44" s="246"/>
      <c r="V44" s="246"/>
      <c r="W44" s="246"/>
      <c r="X44" s="246"/>
      <c r="Y44" s="246"/>
      <c r="Z44" s="386"/>
      <c r="AA44" s="387"/>
      <c r="AB44" s="387"/>
      <c r="AC44" s="387"/>
      <c r="AD44" s="387"/>
      <c r="AE44" s="387"/>
      <c r="AF44" s="387"/>
      <c r="AG44" s="387"/>
      <c r="AH44" s="388"/>
      <c r="AJ44" s="497" t="s">
        <v>184</v>
      </c>
      <c r="AK44" s="498"/>
      <c r="AL44" s="498"/>
      <c r="AM44" s="498"/>
      <c r="AN44" s="498"/>
      <c r="AO44" s="498"/>
      <c r="AP44" s="498"/>
      <c r="AQ44" s="498"/>
      <c r="AR44" s="499"/>
      <c r="AS44" s="533">
        <f>IF(AE39,$I$48+$Z$48,I48)</f>
        <v>1200</v>
      </c>
      <c r="AT44" s="534"/>
      <c r="AU44" s="534"/>
      <c r="AV44" s="534"/>
      <c r="AW44" s="534"/>
      <c r="AX44" s="534"/>
      <c r="AY44" s="534"/>
      <c r="AZ44" s="535"/>
    </row>
    <row r="45" spans="2:52" x14ac:dyDescent="0.25">
      <c r="B45" s="245" t="s">
        <v>16</v>
      </c>
      <c r="C45" s="246"/>
      <c r="D45" s="246"/>
      <c r="E45" s="246"/>
      <c r="F45" s="246"/>
      <c r="G45" s="246"/>
      <c r="H45" s="246"/>
      <c r="I45" s="389">
        <v>2.64E-2</v>
      </c>
      <c r="J45" s="390"/>
      <c r="K45" s="390"/>
      <c r="L45" s="390"/>
      <c r="M45" s="390"/>
      <c r="N45" s="390"/>
      <c r="O45" s="390"/>
      <c r="P45" s="390"/>
      <c r="Q45" s="391"/>
      <c r="S45" s="245" t="s">
        <v>16</v>
      </c>
      <c r="T45" s="246"/>
      <c r="U45" s="246"/>
      <c r="V45" s="246"/>
      <c r="W45" s="246"/>
      <c r="X45" s="246"/>
      <c r="Y45" s="246"/>
      <c r="Z45" s="389"/>
      <c r="AA45" s="390"/>
      <c r="AB45" s="390"/>
      <c r="AC45" s="390"/>
      <c r="AD45" s="390"/>
      <c r="AE45" s="390"/>
      <c r="AF45" s="390"/>
      <c r="AG45" s="390"/>
      <c r="AH45" s="391"/>
      <c r="AJ45" s="500" t="s">
        <v>194</v>
      </c>
      <c r="AK45" s="501"/>
      <c r="AL45" s="501"/>
      <c r="AM45" s="501"/>
      <c r="AN45" s="501"/>
      <c r="AO45" s="501"/>
      <c r="AP45" s="501"/>
      <c r="AQ45" s="501"/>
      <c r="AR45" s="502"/>
      <c r="AS45" s="255">
        <f>IF(AE39,($I$43+$Z$43)/$I$37,I43/I37)</f>
        <v>0.59130434782608698</v>
      </c>
      <c r="AT45" s="256"/>
      <c r="AU45" s="256"/>
      <c r="AV45" s="256"/>
      <c r="AW45" s="256"/>
      <c r="AX45" s="256"/>
      <c r="AY45" s="256"/>
      <c r="AZ45" s="257"/>
    </row>
    <row r="46" spans="2:52" x14ac:dyDescent="0.25">
      <c r="B46" s="245" t="s">
        <v>18</v>
      </c>
      <c r="C46" s="246"/>
      <c r="D46" s="246"/>
      <c r="E46" s="246"/>
      <c r="F46" s="246"/>
      <c r="G46" s="246"/>
      <c r="H46" s="246"/>
      <c r="I46" s="392">
        <v>25</v>
      </c>
      <c r="J46" s="393"/>
      <c r="K46" s="393"/>
      <c r="L46" s="393"/>
      <c r="M46" s="393"/>
      <c r="N46" s="393"/>
      <c r="O46" s="393"/>
      <c r="P46" s="393"/>
      <c r="Q46" s="394"/>
      <c r="S46" s="245" t="s">
        <v>18</v>
      </c>
      <c r="T46" s="246"/>
      <c r="U46" s="246"/>
      <c r="V46" s="246"/>
      <c r="W46" s="246"/>
      <c r="X46" s="246"/>
      <c r="Y46" s="246"/>
      <c r="Z46" s="392"/>
      <c r="AA46" s="393"/>
      <c r="AB46" s="393"/>
      <c r="AC46" s="393"/>
      <c r="AD46" s="393"/>
      <c r="AE46" s="393"/>
      <c r="AF46" s="393"/>
      <c r="AG46" s="393"/>
      <c r="AH46" s="394"/>
      <c r="AJ46" s="503" t="s">
        <v>195</v>
      </c>
      <c r="AK46" s="504"/>
      <c r="AL46" s="504"/>
      <c r="AM46" s="504"/>
      <c r="AN46" s="504"/>
      <c r="AO46" s="504"/>
      <c r="AP46" s="504"/>
      <c r="AQ46" s="504"/>
      <c r="AR46" s="505"/>
      <c r="AS46" s="362">
        <f>$P$31</f>
        <v>44284.79</v>
      </c>
      <c r="AT46" s="363"/>
      <c r="AU46" s="363"/>
      <c r="AV46" s="363"/>
      <c r="AW46" s="363"/>
      <c r="AX46" s="363"/>
      <c r="AY46" s="363"/>
      <c r="AZ46" s="364"/>
    </row>
    <row r="47" spans="2:52" x14ac:dyDescent="0.25">
      <c r="B47" s="245" t="s">
        <v>233</v>
      </c>
      <c r="C47" s="246"/>
      <c r="D47" s="246"/>
      <c r="E47" s="246"/>
      <c r="F47" s="246"/>
      <c r="G47" s="246"/>
      <c r="H47" s="246"/>
      <c r="I47" s="395">
        <v>24</v>
      </c>
      <c r="J47" s="396"/>
      <c r="K47" s="396"/>
      <c r="L47" s="396"/>
      <c r="M47" s="396"/>
      <c r="N47" s="396"/>
      <c r="O47" s="396"/>
      <c r="P47" s="396"/>
      <c r="Q47" s="397"/>
      <c r="S47" s="245" t="s">
        <v>233</v>
      </c>
      <c r="T47" s="246"/>
      <c r="U47" s="246"/>
      <c r="V47" s="246"/>
      <c r="W47" s="246"/>
      <c r="X47" s="246"/>
      <c r="Y47" s="246"/>
      <c r="Z47" s="395"/>
      <c r="AA47" s="396"/>
      <c r="AB47" s="396"/>
      <c r="AC47" s="396"/>
      <c r="AD47" s="396"/>
      <c r="AE47" s="396"/>
      <c r="AF47" s="396"/>
      <c r="AG47" s="396"/>
      <c r="AH47" s="397"/>
      <c r="AJ47" s="506" t="s">
        <v>196</v>
      </c>
      <c r="AK47" s="507"/>
      <c r="AL47" s="507"/>
      <c r="AM47" s="507"/>
      <c r="AN47" s="507"/>
      <c r="AO47" s="507"/>
      <c r="AP47" s="507"/>
      <c r="AQ47" s="507"/>
      <c r="AR47" s="508"/>
      <c r="AS47" s="365">
        <f>$X$31</f>
        <v>1148</v>
      </c>
      <c r="AT47" s="366"/>
      <c r="AU47" s="366"/>
      <c r="AV47" s="366"/>
      <c r="AW47" s="366"/>
      <c r="AX47" s="366"/>
      <c r="AY47" s="366"/>
      <c r="AZ47" s="367"/>
    </row>
    <row r="48" spans="2:52" x14ac:dyDescent="0.25">
      <c r="B48" s="245" t="s">
        <v>184</v>
      </c>
      <c r="C48" s="246"/>
      <c r="D48" s="246"/>
      <c r="E48" s="246"/>
      <c r="F48" s="246"/>
      <c r="G48" s="246"/>
      <c r="H48" s="246"/>
      <c r="I48" s="331">
        <v>1200</v>
      </c>
      <c r="J48" s="332"/>
      <c r="K48" s="332"/>
      <c r="L48" s="332"/>
      <c r="M48" s="332"/>
      <c r="N48" s="332"/>
      <c r="O48" s="332"/>
      <c r="P48" s="332"/>
      <c r="Q48" s="333"/>
      <c r="S48" s="245" t="s">
        <v>184</v>
      </c>
      <c r="T48" s="246"/>
      <c r="U48" s="246"/>
      <c r="V48" s="246"/>
      <c r="W48" s="246"/>
      <c r="X48" s="246"/>
      <c r="Y48" s="246"/>
      <c r="Z48" s="331"/>
      <c r="AA48" s="332"/>
      <c r="AB48" s="332"/>
      <c r="AC48" s="332"/>
      <c r="AD48" s="332"/>
      <c r="AE48" s="332"/>
      <c r="AF48" s="332"/>
      <c r="AG48" s="332"/>
      <c r="AH48" s="333"/>
      <c r="AJ48" s="509" t="s">
        <v>197</v>
      </c>
      <c r="AK48" s="510"/>
      <c r="AL48" s="510"/>
      <c r="AM48" s="510"/>
      <c r="AN48" s="510"/>
      <c r="AO48" s="510"/>
      <c r="AP48" s="510"/>
      <c r="AQ48" s="510"/>
      <c r="AR48" s="511"/>
      <c r="AS48" s="368" t="str">
        <f>$M$31</f>
        <v>-</v>
      </c>
      <c r="AT48" s="369"/>
      <c r="AU48" s="369"/>
      <c r="AV48" s="369"/>
      <c r="AW48" s="369"/>
      <c r="AX48" s="369"/>
      <c r="AY48" s="369"/>
      <c r="AZ48" s="370"/>
    </row>
    <row r="49" spans="2:52" x14ac:dyDescent="0.25">
      <c r="B49" s="245" t="s">
        <v>235</v>
      </c>
      <c r="C49" s="246"/>
      <c r="D49" s="246"/>
      <c r="E49" s="246"/>
      <c r="F49" s="246"/>
      <c r="G49" s="246"/>
      <c r="H49" s="246"/>
      <c r="I49" s="395" t="s">
        <v>288</v>
      </c>
      <c r="J49" s="396"/>
      <c r="K49" s="396"/>
      <c r="L49" s="396"/>
      <c r="M49" s="396"/>
      <c r="N49" s="396"/>
      <c r="O49" s="396"/>
      <c r="P49" s="396"/>
      <c r="Q49" s="397"/>
      <c r="S49" s="245" t="s">
        <v>235</v>
      </c>
      <c r="T49" s="246"/>
      <c r="U49" s="246"/>
      <c r="V49" s="246"/>
      <c r="W49" s="246"/>
      <c r="X49" s="246"/>
      <c r="Y49" s="246"/>
      <c r="Z49" s="395">
        <v>0</v>
      </c>
      <c r="AA49" s="396"/>
      <c r="AB49" s="396"/>
      <c r="AC49" s="396"/>
      <c r="AD49" s="396"/>
      <c r="AE49" s="396"/>
      <c r="AF49" s="396"/>
      <c r="AG49" s="396"/>
      <c r="AH49" s="397"/>
      <c r="AJ49" s="512" t="s">
        <v>198</v>
      </c>
      <c r="AK49" s="513"/>
      <c r="AL49" s="513"/>
      <c r="AM49" s="513"/>
      <c r="AN49" s="513"/>
      <c r="AO49" s="513"/>
      <c r="AP49" s="513"/>
      <c r="AQ49" s="513"/>
      <c r="AR49" s="514"/>
      <c r="AS49" s="371">
        <f>$AS$42+$AS$46</f>
        <v>248284.79</v>
      </c>
      <c r="AT49" s="372"/>
      <c r="AU49" s="372"/>
      <c r="AV49" s="372"/>
      <c r="AW49" s="372"/>
      <c r="AX49" s="372"/>
      <c r="AY49" s="372"/>
      <c r="AZ49" s="373"/>
    </row>
    <row r="50" spans="2:52" x14ac:dyDescent="0.25">
      <c r="B50" s="245" t="s">
        <v>185</v>
      </c>
      <c r="C50" s="246"/>
      <c r="D50" s="246"/>
      <c r="E50" s="246"/>
      <c r="F50" s="246"/>
      <c r="G50" s="246"/>
      <c r="H50" s="246"/>
      <c r="I50" s="386"/>
      <c r="J50" s="387"/>
      <c r="K50" s="387"/>
      <c r="L50" s="387"/>
      <c r="M50" s="387"/>
      <c r="N50" s="387"/>
      <c r="O50" s="387"/>
      <c r="P50" s="387"/>
      <c r="Q50" s="388"/>
      <c r="S50" s="245" t="s">
        <v>185</v>
      </c>
      <c r="T50" s="246"/>
      <c r="U50" s="246"/>
      <c r="V50" s="246"/>
      <c r="W50" s="246"/>
      <c r="X50" s="246"/>
      <c r="Y50" s="246"/>
      <c r="Z50" s="386"/>
      <c r="AA50" s="387"/>
      <c r="AB50" s="387"/>
      <c r="AC50" s="387"/>
      <c r="AD50" s="387"/>
      <c r="AE50" s="387"/>
      <c r="AF50" s="387"/>
      <c r="AG50" s="387"/>
      <c r="AH50" s="388"/>
      <c r="AJ50" s="515" t="s">
        <v>199</v>
      </c>
      <c r="AK50" s="516"/>
      <c r="AL50" s="516"/>
      <c r="AM50" s="516"/>
      <c r="AN50" s="516"/>
      <c r="AO50" s="516"/>
      <c r="AP50" s="516"/>
      <c r="AQ50" s="516"/>
      <c r="AR50" s="517"/>
      <c r="AS50" s="374">
        <f>$AS$44+$AS$47</f>
        <v>2348</v>
      </c>
      <c r="AT50" s="375"/>
      <c r="AU50" s="375"/>
      <c r="AV50" s="375"/>
      <c r="AW50" s="375"/>
      <c r="AX50" s="375"/>
      <c r="AY50" s="375"/>
      <c r="AZ50" s="376"/>
    </row>
    <row r="51" spans="2:52" ht="15.75" thickBot="1" x14ac:dyDescent="0.3">
      <c r="B51" s="247" t="s">
        <v>186</v>
      </c>
      <c r="C51" s="248"/>
      <c r="D51" s="248"/>
      <c r="E51" s="248"/>
      <c r="F51" s="248"/>
      <c r="G51" s="248"/>
      <c r="H51" s="248"/>
      <c r="I51" s="438" t="s">
        <v>4</v>
      </c>
      <c r="J51" s="439"/>
      <c r="K51" s="439"/>
      <c r="L51" s="439"/>
      <c r="M51" s="439"/>
      <c r="N51" s="439"/>
      <c r="O51" s="439"/>
      <c r="P51" s="439"/>
      <c r="Q51" s="440"/>
      <c r="S51" s="247" t="s">
        <v>186</v>
      </c>
      <c r="T51" s="248"/>
      <c r="U51" s="248"/>
      <c r="V51" s="248"/>
      <c r="W51" s="248"/>
      <c r="X51" s="248"/>
      <c r="Y51" s="248"/>
      <c r="Z51" s="438" t="s">
        <v>4</v>
      </c>
      <c r="AA51" s="439"/>
      <c r="AB51" s="439"/>
      <c r="AC51" s="439"/>
      <c r="AD51" s="439"/>
      <c r="AE51" s="439"/>
      <c r="AF51" s="439"/>
      <c r="AG51" s="439"/>
      <c r="AH51" s="440"/>
      <c r="AJ51" s="518" t="s">
        <v>202</v>
      </c>
      <c r="AK51" s="519"/>
      <c r="AL51" s="519"/>
      <c r="AM51" s="519"/>
      <c r="AN51" s="519"/>
      <c r="AO51" s="519"/>
      <c r="AP51" s="519"/>
      <c r="AQ51" s="519"/>
      <c r="AR51" s="520"/>
      <c r="AS51" s="377">
        <f>IFERROR((($AS$42*$AS$43)+($AS$46*$AS$48))/($AS$42+$AS$46),0)</f>
        <v>0</v>
      </c>
      <c r="AT51" s="378"/>
      <c r="AU51" s="378"/>
      <c r="AV51" s="378"/>
      <c r="AW51" s="378"/>
      <c r="AX51" s="378"/>
      <c r="AY51" s="378"/>
      <c r="AZ51" s="379"/>
    </row>
    <row r="52" spans="2:52" ht="15.75" thickBot="1" x14ac:dyDescent="0.3">
      <c r="AJ52" s="521" t="s">
        <v>200</v>
      </c>
      <c r="AK52" s="522"/>
      <c r="AL52" s="522"/>
      <c r="AM52" s="522"/>
      <c r="AN52" s="522"/>
      <c r="AO52" s="522"/>
      <c r="AP52" s="522"/>
      <c r="AQ52" s="522"/>
      <c r="AR52" s="523"/>
      <c r="AS52" s="380">
        <f>IFERROR(IF(AE39,($I$53+$I$54+($I$55*0.5)+($I$48+$Z$48))/($Z$56/12),($I$53+$I$54+($I$55*0.5)+($I$48))/($Z$56/12)),0)</f>
        <v>0.15749770211562483</v>
      </c>
      <c r="AT52" s="381"/>
      <c r="AU52" s="381"/>
      <c r="AV52" s="381"/>
      <c r="AW52" s="381"/>
      <c r="AX52" s="381"/>
      <c r="AY52" s="381"/>
      <c r="AZ52" s="382"/>
    </row>
    <row r="53" spans="2:52" ht="15.75" thickBot="1" x14ac:dyDescent="0.3">
      <c r="B53" s="326" t="s">
        <v>203</v>
      </c>
      <c r="C53" s="327"/>
      <c r="D53" s="327"/>
      <c r="E53" s="327"/>
      <c r="F53" s="327"/>
      <c r="G53" s="327"/>
      <c r="H53" s="327"/>
      <c r="I53" s="328">
        <v>170.67</v>
      </c>
      <c r="J53" s="329"/>
      <c r="K53" s="329"/>
      <c r="L53" s="329"/>
      <c r="M53" s="329"/>
      <c r="N53" s="329"/>
      <c r="O53" s="329"/>
      <c r="P53" s="329"/>
      <c r="Q53" s="330"/>
      <c r="S53" s="326" t="s">
        <v>207</v>
      </c>
      <c r="T53" s="327"/>
      <c r="U53" s="327"/>
      <c r="V53" s="327"/>
      <c r="W53" s="327"/>
      <c r="X53" s="327"/>
      <c r="Y53" s="327"/>
      <c r="Z53" s="328">
        <v>52451</v>
      </c>
      <c r="AA53" s="329"/>
      <c r="AB53" s="329"/>
      <c r="AC53" s="329"/>
      <c r="AD53" s="329"/>
      <c r="AE53" s="329"/>
      <c r="AF53" s="329"/>
      <c r="AG53" s="329"/>
      <c r="AH53" s="330"/>
      <c r="AJ53" s="524" t="s">
        <v>201</v>
      </c>
      <c r="AK53" s="525"/>
      <c r="AL53" s="525"/>
      <c r="AM53" s="525"/>
      <c r="AN53" s="525"/>
      <c r="AO53" s="525"/>
      <c r="AP53" s="525"/>
      <c r="AQ53" s="525"/>
      <c r="AR53" s="526"/>
      <c r="AS53" s="383">
        <f>IFERROR(IF(AE39,($I$53+$I$54+($I$55*0.5)+($I$48+$Z$48)+($AS$47))/($Z$56/12),($I$53+$I$54+($I$55*0.5)+($I$48)+($AS$47))/($Z$56/12)),0)</f>
        <v>0.26572216417500061</v>
      </c>
      <c r="AT53" s="384"/>
      <c r="AU53" s="384"/>
      <c r="AV53" s="384"/>
      <c r="AW53" s="384"/>
      <c r="AX53" s="384"/>
      <c r="AY53" s="384"/>
      <c r="AZ53" s="385"/>
    </row>
    <row r="54" spans="2:52" x14ac:dyDescent="0.25">
      <c r="B54" s="245" t="s">
        <v>204</v>
      </c>
      <c r="C54" s="246"/>
      <c r="D54" s="246"/>
      <c r="E54" s="246"/>
      <c r="F54" s="246"/>
      <c r="G54" s="246"/>
      <c r="H54" s="246"/>
      <c r="I54" s="331">
        <v>300</v>
      </c>
      <c r="J54" s="332"/>
      <c r="K54" s="332"/>
      <c r="L54" s="332"/>
      <c r="M54" s="332"/>
      <c r="N54" s="332"/>
      <c r="O54" s="332"/>
      <c r="P54" s="332"/>
      <c r="Q54" s="333"/>
      <c r="S54" s="245" t="s">
        <v>208</v>
      </c>
      <c r="T54" s="246"/>
      <c r="U54" s="246"/>
      <c r="V54" s="246"/>
      <c r="W54" s="246"/>
      <c r="X54" s="246"/>
      <c r="Y54" s="246"/>
      <c r="Z54" s="331">
        <v>54041</v>
      </c>
      <c r="AA54" s="332"/>
      <c r="AB54" s="332"/>
      <c r="AC54" s="332"/>
      <c r="AD54" s="332"/>
      <c r="AE54" s="332"/>
      <c r="AF54" s="332"/>
      <c r="AG54" s="332"/>
      <c r="AH54" s="333"/>
    </row>
    <row r="55" spans="2:52" x14ac:dyDescent="0.25">
      <c r="B55" s="245" t="s">
        <v>205</v>
      </c>
      <c r="C55" s="246"/>
      <c r="D55" s="246"/>
      <c r="E55" s="246"/>
      <c r="F55" s="246"/>
      <c r="G55" s="246"/>
      <c r="H55" s="246"/>
      <c r="I55" s="239">
        <v>0</v>
      </c>
      <c r="J55" s="240"/>
      <c r="K55" s="240"/>
      <c r="L55" s="240"/>
      <c r="M55" s="240"/>
      <c r="N55" s="240"/>
      <c r="O55" s="240"/>
      <c r="P55" s="240"/>
      <c r="Q55" s="241"/>
      <c r="S55" s="245" t="s">
        <v>209</v>
      </c>
      <c r="T55" s="246"/>
      <c r="U55" s="246"/>
      <c r="V55" s="246"/>
      <c r="W55" s="246"/>
      <c r="X55" s="246"/>
      <c r="Y55" s="246"/>
      <c r="Z55" s="239">
        <v>20799</v>
      </c>
      <c r="AA55" s="240"/>
      <c r="AB55" s="240"/>
      <c r="AC55" s="240"/>
      <c r="AD55" s="240"/>
      <c r="AE55" s="240"/>
      <c r="AF55" s="240"/>
      <c r="AG55" s="240"/>
      <c r="AH55" s="241"/>
    </row>
    <row r="56" spans="2:52" s="9" customFormat="1" ht="18" customHeight="1" thickBot="1" x14ac:dyDescent="0.3">
      <c r="B56" s="334" t="s">
        <v>206</v>
      </c>
      <c r="C56" s="335"/>
      <c r="D56" s="335"/>
      <c r="E56" s="335"/>
      <c r="F56" s="335"/>
      <c r="G56" s="335"/>
      <c r="H56" s="335"/>
      <c r="I56" s="278">
        <f>SUM(I53:Q55)</f>
        <v>470.66999999999996</v>
      </c>
      <c r="J56" s="279"/>
      <c r="K56" s="279"/>
      <c r="L56" s="279"/>
      <c r="M56" s="279"/>
      <c r="N56" s="279"/>
      <c r="O56" s="279"/>
      <c r="P56" s="279"/>
      <c r="Q56" s="280"/>
      <c r="S56" s="334" t="s">
        <v>210</v>
      </c>
      <c r="T56" s="335"/>
      <c r="U56" s="335"/>
      <c r="V56" s="335"/>
      <c r="W56" s="335"/>
      <c r="X56" s="335"/>
      <c r="Y56" s="335"/>
      <c r="Z56" s="278">
        <f>SUM(Z53:AH55)</f>
        <v>127291</v>
      </c>
      <c r="AA56" s="279"/>
      <c r="AB56" s="279"/>
      <c r="AC56" s="279"/>
      <c r="AD56" s="279"/>
      <c r="AE56" s="279"/>
      <c r="AF56" s="279"/>
      <c r="AG56" s="279"/>
      <c r="AH56" s="280"/>
    </row>
    <row r="57" spans="2:52" ht="18" customHeight="1" x14ac:dyDescent="0.25">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row>
    <row r="58" spans="2:52" ht="18" customHeight="1" thickBot="1" x14ac:dyDescent="0.3"/>
    <row r="59" spans="2:52" ht="14.45" customHeight="1" x14ac:dyDescent="0.25">
      <c r="B59" s="139" t="s">
        <v>143</v>
      </c>
      <c r="C59" s="140"/>
      <c r="D59" s="249" t="s">
        <v>223</v>
      </c>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250"/>
      <c r="AL59" s="250"/>
      <c r="AM59" s="250"/>
      <c r="AN59" s="250"/>
      <c r="AO59" s="250"/>
      <c r="AP59" s="250"/>
      <c r="AQ59" s="250"/>
      <c r="AR59" s="250"/>
      <c r="AS59" s="250"/>
      <c r="AT59" s="250"/>
      <c r="AU59" s="250"/>
      <c r="AV59" s="250"/>
      <c r="AW59" s="250"/>
      <c r="AX59" s="250"/>
      <c r="AY59" s="250"/>
      <c r="AZ59" s="251"/>
    </row>
    <row r="60" spans="2:52" ht="15" customHeight="1" thickBot="1" x14ac:dyDescent="0.3">
      <c r="B60" s="141"/>
      <c r="C60" s="142"/>
      <c r="D60" s="252"/>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4"/>
    </row>
    <row r="61" spans="2:52" ht="19.5" thickBot="1" x14ac:dyDescent="0.3">
      <c r="K61" s="67" t="b">
        <v>1</v>
      </c>
    </row>
    <row r="62" spans="2:52" ht="14.45" customHeight="1" x14ac:dyDescent="0.25">
      <c r="B62" s="242" t="s">
        <v>191</v>
      </c>
      <c r="C62" s="150"/>
      <c r="D62" s="143" t="s">
        <v>226</v>
      </c>
      <c r="E62" s="178"/>
      <c r="F62" s="178"/>
      <c r="G62" s="178"/>
      <c r="H62" s="178"/>
      <c r="I62" s="178"/>
      <c r="J62" s="178"/>
      <c r="K62" s="178"/>
      <c r="L62" s="174" t="str">
        <f>IF(K61,"YES","NO")</f>
        <v>YES</v>
      </c>
      <c r="M62" s="175"/>
      <c r="N62" s="134"/>
      <c r="O62" s="242" t="s">
        <v>187</v>
      </c>
      <c r="P62" s="150"/>
      <c r="Q62" s="143" t="s">
        <v>218</v>
      </c>
      <c r="R62" s="144"/>
      <c r="S62" s="144"/>
      <c r="T62" s="144"/>
      <c r="U62" s="144"/>
      <c r="V62" s="144"/>
      <c r="W62" s="144"/>
      <c r="X62" s="144"/>
      <c r="Y62" s="144"/>
      <c r="Z62" s="145"/>
      <c r="AB62" s="242" t="s">
        <v>190</v>
      </c>
      <c r="AC62" s="150"/>
      <c r="AD62" s="143" t="s">
        <v>219</v>
      </c>
      <c r="AE62" s="144"/>
      <c r="AF62" s="144"/>
      <c r="AG62" s="144"/>
      <c r="AH62" s="144"/>
      <c r="AI62" s="144"/>
      <c r="AJ62" s="144"/>
      <c r="AK62" s="144"/>
      <c r="AL62" s="144"/>
      <c r="AM62" s="145"/>
      <c r="AO62" s="242" t="s">
        <v>228</v>
      </c>
      <c r="AP62" s="150"/>
      <c r="AQ62" s="143" t="s">
        <v>220</v>
      </c>
      <c r="AR62" s="144"/>
      <c r="AS62" s="144"/>
      <c r="AT62" s="144"/>
      <c r="AU62" s="144"/>
      <c r="AV62" s="144"/>
      <c r="AW62" s="144"/>
      <c r="AX62" s="144"/>
      <c r="AY62" s="144"/>
      <c r="AZ62" s="145"/>
    </row>
    <row r="63" spans="2:52" ht="15" customHeight="1" thickBot="1" x14ac:dyDescent="0.3">
      <c r="B63" s="243"/>
      <c r="C63" s="244"/>
      <c r="D63" s="179"/>
      <c r="E63" s="180"/>
      <c r="F63" s="180"/>
      <c r="G63" s="180"/>
      <c r="H63" s="180"/>
      <c r="I63" s="180"/>
      <c r="J63" s="180"/>
      <c r="K63" s="180"/>
      <c r="L63" s="176"/>
      <c r="M63" s="177"/>
      <c r="N63" s="134"/>
      <c r="O63" s="243"/>
      <c r="P63" s="244"/>
      <c r="Q63" s="447"/>
      <c r="R63" s="448"/>
      <c r="S63" s="448"/>
      <c r="T63" s="448"/>
      <c r="U63" s="448"/>
      <c r="V63" s="448"/>
      <c r="W63" s="448"/>
      <c r="X63" s="448"/>
      <c r="Y63" s="448"/>
      <c r="Z63" s="449"/>
      <c r="AB63" s="259"/>
      <c r="AC63" s="153"/>
      <c r="AD63" s="146"/>
      <c r="AE63" s="147"/>
      <c r="AF63" s="147"/>
      <c r="AG63" s="147"/>
      <c r="AH63" s="147"/>
      <c r="AI63" s="147"/>
      <c r="AJ63" s="147"/>
      <c r="AK63" s="147"/>
      <c r="AL63" s="147"/>
      <c r="AM63" s="148"/>
      <c r="AO63" s="259"/>
      <c r="AP63" s="153"/>
      <c r="AQ63" s="146"/>
      <c r="AR63" s="147"/>
      <c r="AS63" s="147"/>
      <c r="AT63" s="147"/>
      <c r="AU63" s="147"/>
      <c r="AV63" s="147"/>
      <c r="AW63" s="147"/>
      <c r="AX63" s="147"/>
      <c r="AY63" s="147"/>
      <c r="AZ63" s="148"/>
    </row>
    <row r="64" spans="2:52" ht="15" customHeight="1" x14ac:dyDescent="0.25">
      <c r="B64" s="293" t="s">
        <v>263</v>
      </c>
      <c r="C64" s="294"/>
      <c r="D64" s="294"/>
      <c r="E64" s="294"/>
      <c r="F64" s="294"/>
      <c r="G64" s="294"/>
      <c r="H64" s="295"/>
      <c r="I64" s="299">
        <f>I43</f>
        <v>204000</v>
      </c>
      <c r="J64" s="300"/>
      <c r="K64" s="300"/>
      <c r="L64" s="300"/>
      <c r="M64" s="301"/>
      <c r="N64" s="65"/>
      <c r="O64" s="228" t="s">
        <v>264</v>
      </c>
      <c r="P64" s="228"/>
      <c r="Q64" s="228"/>
      <c r="R64" s="228"/>
      <c r="S64" s="228"/>
      <c r="T64" s="228"/>
      <c r="U64" s="228"/>
      <c r="V64" s="235">
        <f>Z43</f>
        <v>0</v>
      </c>
      <c r="W64" s="235"/>
      <c r="X64" s="235"/>
      <c r="Y64" s="235"/>
      <c r="Z64" s="235"/>
      <c r="AB64" s="455" t="s">
        <v>222</v>
      </c>
      <c r="AC64" s="456"/>
      <c r="AD64" s="456"/>
      <c r="AE64" s="456"/>
      <c r="AF64" s="456"/>
      <c r="AG64" s="456"/>
      <c r="AH64" s="456"/>
      <c r="AI64" s="456"/>
      <c r="AJ64" s="456"/>
      <c r="AK64" s="456"/>
      <c r="AL64" s="456"/>
      <c r="AM64" s="457"/>
      <c r="AO64" s="455" t="s">
        <v>221</v>
      </c>
      <c r="AP64" s="479"/>
      <c r="AQ64" s="479"/>
      <c r="AR64" s="479"/>
      <c r="AS64" s="479"/>
      <c r="AT64" s="479"/>
      <c r="AU64" s="479"/>
      <c r="AV64" s="479"/>
      <c r="AW64" s="479"/>
      <c r="AX64" s="479"/>
      <c r="AY64" s="479"/>
      <c r="AZ64" s="480"/>
    </row>
    <row r="65" spans="2:52" ht="15" customHeight="1" x14ac:dyDescent="0.25">
      <c r="B65" s="293" t="s">
        <v>235</v>
      </c>
      <c r="C65" s="294"/>
      <c r="D65" s="294"/>
      <c r="E65" s="294"/>
      <c r="F65" s="294"/>
      <c r="G65" s="294"/>
      <c r="H65" s="295"/>
      <c r="I65" s="302">
        <f>IF(ISBLANK(I49),"",IF(OR(I49=0,I49="IRD"),0,I43*(((1+(I45/2))^(2))^(I49/12)-1)))</f>
        <v>0</v>
      </c>
      <c r="J65" s="303"/>
      <c r="K65" s="303"/>
      <c r="L65" s="303"/>
      <c r="M65" s="304"/>
      <c r="N65" s="65"/>
      <c r="O65" s="477" t="s">
        <v>289</v>
      </c>
      <c r="P65" s="477"/>
      <c r="Q65" s="477"/>
      <c r="R65" s="477"/>
      <c r="S65" s="477"/>
      <c r="T65" s="477"/>
      <c r="U65" s="477"/>
      <c r="V65" s="478"/>
      <c r="W65" s="478"/>
      <c r="X65" s="478"/>
      <c r="Y65" s="478"/>
      <c r="Z65" s="478"/>
      <c r="AB65" s="458"/>
      <c r="AC65" s="459"/>
      <c r="AD65" s="459"/>
      <c r="AE65" s="459"/>
      <c r="AF65" s="459"/>
      <c r="AG65" s="459"/>
      <c r="AH65" s="459"/>
      <c r="AI65" s="459"/>
      <c r="AJ65" s="459"/>
      <c r="AK65" s="459"/>
      <c r="AL65" s="459"/>
      <c r="AM65" s="460"/>
      <c r="AO65" s="481"/>
      <c r="AP65" s="482"/>
      <c r="AQ65" s="482"/>
      <c r="AR65" s="482"/>
      <c r="AS65" s="482"/>
      <c r="AT65" s="482"/>
      <c r="AU65" s="482"/>
      <c r="AV65" s="482"/>
      <c r="AW65" s="482"/>
      <c r="AX65" s="482"/>
      <c r="AY65" s="482"/>
      <c r="AZ65" s="483"/>
    </row>
    <row r="66" spans="2:52" ht="15" customHeight="1" x14ac:dyDescent="0.25">
      <c r="B66" s="293" t="s">
        <v>19</v>
      </c>
      <c r="C66" s="294"/>
      <c r="D66" s="294"/>
      <c r="E66" s="294"/>
      <c r="F66" s="294"/>
      <c r="G66" s="294"/>
      <c r="H66" s="295"/>
      <c r="I66" s="299">
        <f>Z43</f>
        <v>0</v>
      </c>
      <c r="J66" s="300"/>
      <c r="K66" s="300"/>
      <c r="L66" s="300"/>
      <c r="M66" s="301"/>
      <c r="N66" s="112"/>
      <c r="O66" s="228" t="s">
        <v>265</v>
      </c>
      <c r="P66" s="228"/>
      <c r="Q66" s="228"/>
      <c r="R66" s="228"/>
      <c r="S66" s="228"/>
      <c r="T66" s="228"/>
      <c r="U66" s="228"/>
      <c r="V66" s="235" t="str">
        <f>IF(ISBLANK(Z48),"",IF(OR(Z48=0,Z48="IRD"),0,Z42*(((1+(Z44/2))^(2))^(Z48/12)-1)))</f>
        <v/>
      </c>
      <c r="W66" s="235"/>
      <c r="X66" s="235"/>
      <c r="Y66" s="235"/>
      <c r="Z66" s="235"/>
      <c r="AB66" s="269"/>
      <c r="AC66" s="453"/>
      <c r="AD66" s="453"/>
      <c r="AE66" s="453"/>
      <c r="AF66" s="453"/>
      <c r="AG66" s="453"/>
      <c r="AH66" s="453"/>
      <c r="AI66" s="454"/>
      <c r="AJ66" s="453"/>
      <c r="AK66" s="453"/>
      <c r="AL66" s="453"/>
      <c r="AM66" s="453"/>
      <c r="AO66" s="269"/>
      <c r="AP66" s="453"/>
      <c r="AQ66" s="453"/>
      <c r="AR66" s="453"/>
      <c r="AS66" s="453"/>
      <c r="AT66" s="453"/>
      <c r="AU66" s="453"/>
      <c r="AV66" s="454"/>
      <c r="AW66" s="453"/>
      <c r="AX66" s="453"/>
      <c r="AY66" s="453"/>
      <c r="AZ66" s="453"/>
    </row>
    <row r="67" spans="2:52" ht="15" customHeight="1" x14ac:dyDescent="0.25">
      <c r="B67" s="293" t="s">
        <v>211</v>
      </c>
      <c r="C67" s="294"/>
      <c r="D67" s="294"/>
      <c r="E67" s="294"/>
      <c r="F67" s="294"/>
      <c r="G67" s="294"/>
      <c r="H67" s="295"/>
      <c r="I67" s="299">
        <f>IF(ISBLANK(Z49),"",IF(OR(Z49=0,Z49="IRD"),0,Z43*(((1+(Z45/2))^(2))^(Z49/12)-1)))</f>
        <v>0</v>
      </c>
      <c r="J67" s="300"/>
      <c r="K67" s="300"/>
      <c r="L67" s="300"/>
      <c r="M67" s="301"/>
      <c r="N67" s="65"/>
      <c r="O67" s="228" t="s">
        <v>266</v>
      </c>
      <c r="P67" s="228"/>
      <c r="Q67" s="228"/>
      <c r="R67" s="228"/>
      <c r="S67" s="228"/>
      <c r="T67" s="228"/>
      <c r="U67" s="228"/>
      <c r="V67" s="235">
        <f>$P$31</f>
        <v>44284.79</v>
      </c>
      <c r="W67" s="235"/>
      <c r="X67" s="235"/>
      <c r="Y67" s="235"/>
      <c r="Z67" s="235"/>
      <c r="AB67" s="269"/>
      <c r="AC67" s="453"/>
      <c r="AD67" s="453"/>
      <c r="AE67" s="453"/>
      <c r="AF67" s="453"/>
      <c r="AG67" s="453"/>
      <c r="AH67" s="453"/>
      <c r="AI67" s="454"/>
      <c r="AJ67" s="453"/>
      <c r="AK67" s="453"/>
      <c r="AL67" s="453"/>
      <c r="AM67" s="453"/>
      <c r="AO67" s="269"/>
      <c r="AP67" s="453"/>
      <c r="AQ67" s="453"/>
      <c r="AR67" s="453"/>
      <c r="AS67" s="453"/>
      <c r="AT67" s="453"/>
      <c r="AU67" s="453"/>
      <c r="AV67" s="454"/>
      <c r="AW67" s="453"/>
      <c r="AX67" s="453"/>
      <c r="AY67" s="453"/>
      <c r="AZ67" s="453"/>
    </row>
    <row r="68" spans="2:52" ht="15" customHeight="1" x14ac:dyDescent="0.25">
      <c r="B68" s="293" t="s">
        <v>266</v>
      </c>
      <c r="C68" s="294"/>
      <c r="D68" s="294"/>
      <c r="E68" s="294"/>
      <c r="F68" s="294"/>
      <c r="G68" s="294"/>
      <c r="H68" s="295"/>
      <c r="I68" s="299">
        <f>$P$31</f>
        <v>44284.79</v>
      </c>
      <c r="J68" s="300"/>
      <c r="K68" s="300"/>
      <c r="L68" s="300"/>
      <c r="M68" s="301"/>
      <c r="N68" s="65"/>
      <c r="O68" s="228"/>
      <c r="P68" s="228"/>
      <c r="Q68" s="228"/>
      <c r="R68" s="228"/>
      <c r="S68" s="228"/>
      <c r="T68" s="228"/>
      <c r="U68" s="228"/>
      <c r="V68" s="235"/>
      <c r="W68" s="235"/>
      <c r="X68" s="235"/>
      <c r="Y68" s="235"/>
      <c r="Z68" s="235"/>
      <c r="AB68" s="228" t="s">
        <v>266</v>
      </c>
      <c r="AC68" s="228"/>
      <c r="AD68" s="228"/>
      <c r="AE68" s="228"/>
      <c r="AF68" s="228"/>
      <c r="AG68" s="228"/>
      <c r="AH68" s="228"/>
      <c r="AI68" s="235">
        <f>$P$31</f>
        <v>44284.79</v>
      </c>
      <c r="AJ68" s="235"/>
      <c r="AK68" s="235"/>
      <c r="AL68" s="235"/>
      <c r="AM68" s="235"/>
      <c r="AO68" s="228" t="s">
        <v>266</v>
      </c>
      <c r="AP68" s="228"/>
      <c r="AQ68" s="228"/>
      <c r="AR68" s="228"/>
      <c r="AS68" s="228"/>
      <c r="AT68" s="228"/>
      <c r="AU68" s="228"/>
      <c r="AV68" s="235">
        <f>$P$31</f>
        <v>44284.79</v>
      </c>
      <c r="AW68" s="235"/>
      <c r="AX68" s="235"/>
      <c r="AY68" s="235"/>
      <c r="AZ68" s="235"/>
    </row>
    <row r="69" spans="2:52" ht="15" customHeight="1" thickBot="1" x14ac:dyDescent="0.3">
      <c r="B69" s="296" t="s">
        <v>212</v>
      </c>
      <c r="C69" s="297"/>
      <c r="D69" s="297"/>
      <c r="E69" s="297"/>
      <c r="F69" s="297"/>
      <c r="G69" s="297"/>
      <c r="H69" s="298"/>
      <c r="I69" s="305">
        <f>SUM(I64:N68)</f>
        <v>248284.79</v>
      </c>
      <c r="J69" s="305"/>
      <c r="K69" s="305"/>
      <c r="L69" s="305"/>
      <c r="M69" s="306"/>
      <c r="N69" s="65"/>
      <c r="O69" s="296" t="s">
        <v>212</v>
      </c>
      <c r="P69" s="297"/>
      <c r="Q69" s="297"/>
      <c r="R69" s="297"/>
      <c r="S69" s="297"/>
      <c r="T69" s="297"/>
      <c r="U69" s="298"/>
      <c r="V69" s="302">
        <f>SUM(V65:Z68)</f>
        <v>44284.79</v>
      </c>
      <c r="W69" s="303"/>
      <c r="X69" s="303"/>
      <c r="Y69" s="303"/>
      <c r="Z69" s="304"/>
      <c r="AB69" s="445" t="s">
        <v>212</v>
      </c>
      <c r="AC69" s="446"/>
      <c r="AD69" s="446"/>
      <c r="AE69" s="446"/>
      <c r="AF69" s="446"/>
      <c r="AG69" s="446"/>
      <c r="AH69" s="446"/>
      <c r="AI69" s="461">
        <f>AI68</f>
        <v>44284.79</v>
      </c>
      <c r="AJ69" s="462"/>
      <c r="AK69" s="462"/>
      <c r="AL69" s="462"/>
      <c r="AM69" s="463"/>
      <c r="AO69" s="445" t="s">
        <v>212</v>
      </c>
      <c r="AP69" s="446"/>
      <c r="AQ69" s="446"/>
      <c r="AR69" s="446"/>
      <c r="AS69" s="446"/>
      <c r="AT69" s="446"/>
      <c r="AU69" s="446"/>
      <c r="AV69" s="461">
        <f>AV68</f>
        <v>44284.79</v>
      </c>
      <c r="AW69" s="462"/>
      <c r="AX69" s="462"/>
      <c r="AY69" s="462"/>
      <c r="AZ69" s="463"/>
    </row>
    <row r="70" spans="2:52" ht="15" customHeight="1" x14ac:dyDescent="0.25">
      <c r="D70" s="16"/>
      <c r="E70" s="16"/>
      <c r="F70" s="16"/>
      <c r="G70" s="16"/>
      <c r="H70" s="16"/>
      <c r="I70" s="277"/>
      <c r="J70" s="277"/>
      <c r="K70" s="277"/>
      <c r="L70" s="277"/>
      <c r="M70" s="277"/>
      <c r="N70" s="17"/>
      <c r="O70" s="168" t="s">
        <v>321</v>
      </c>
      <c r="P70" s="169"/>
      <c r="Q70" s="169"/>
      <c r="R70" s="169"/>
      <c r="S70" s="169"/>
      <c r="T70" s="169"/>
      <c r="U70" s="170"/>
      <c r="V70" s="171">
        <v>4150</v>
      </c>
      <c r="W70" s="172"/>
      <c r="X70" s="172"/>
      <c r="Y70" s="172"/>
      <c r="Z70" s="173"/>
      <c r="AD70" s="16"/>
      <c r="AE70" s="16"/>
      <c r="AF70" s="16"/>
      <c r="AG70" s="16"/>
      <c r="AH70" s="16"/>
      <c r="AI70" s="484"/>
      <c r="AJ70" s="484"/>
      <c r="AK70" s="484"/>
      <c r="AL70" s="484"/>
      <c r="AM70" s="484"/>
      <c r="AQ70" s="16"/>
      <c r="AR70" s="16"/>
      <c r="AS70" s="16"/>
      <c r="AT70" s="16"/>
      <c r="AU70" s="16"/>
      <c r="AV70" s="484"/>
      <c r="AW70" s="484"/>
      <c r="AX70" s="484"/>
      <c r="AY70" s="484"/>
      <c r="AZ70" s="484"/>
    </row>
    <row r="71" spans="2:52" ht="15" customHeight="1" x14ac:dyDescent="0.25">
      <c r="B71" s="227" t="s">
        <v>322</v>
      </c>
      <c r="C71" s="227"/>
      <c r="D71" s="227"/>
      <c r="E71" s="227"/>
      <c r="F71" s="227"/>
      <c r="G71" s="227"/>
      <c r="H71" s="227"/>
      <c r="I71" s="270">
        <f>MIN(I69,I37*0.8)</f>
        <v>248284.79</v>
      </c>
      <c r="J71" s="270"/>
      <c r="K71" s="270"/>
      <c r="L71" s="270"/>
      <c r="M71" s="270"/>
      <c r="N71" s="132"/>
      <c r="O71" s="274" t="s">
        <v>271</v>
      </c>
      <c r="P71" s="274"/>
      <c r="Q71" s="274"/>
      <c r="R71" s="274"/>
      <c r="S71" s="274"/>
      <c r="T71" s="274"/>
      <c r="U71" s="274"/>
      <c r="V71" s="309">
        <v>48500</v>
      </c>
      <c r="W71" s="309"/>
      <c r="X71" s="309"/>
      <c r="Y71" s="309"/>
      <c r="Z71" s="309"/>
      <c r="AA71" s="133"/>
      <c r="AB71" s="228" t="s">
        <v>224</v>
      </c>
      <c r="AC71" s="228"/>
      <c r="AD71" s="228"/>
      <c r="AE71" s="228"/>
      <c r="AF71" s="228"/>
      <c r="AG71" s="228"/>
      <c r="AH71" s="228"/>
      <c r="AI71" s="235">
        <f>AI69</f>
        <v>44284.79</v>
      </c>
      <c r="AJ71" s="235"/>
      <c r="AK71" s="235"/>
      <c r="AL71" s="235"/>
      <c r="AM71" s="235"/>
      <c r="AO71" s="228" t="s">
        <v>225</v>
      </c>
      <c r="AP71" s="228"/>
      <c r="AQ71" s="228"/>
      <c r="AR71" s="228"/>
      <c r="AS71" s="228"/>
      <c r="AT71" s="228"/>
      <c r="AU71" s="228"/>
      <c r="AV71" s="235">
        <f>AV69</f>
        <v>44284.79</v>
      </c>
      <c r="AW71" s="235"/>
      <c r="AX71" s="235"/>
      <c r="AY71" s="235"/>
      <c r="AZ71" s="235"/>
    </row>
    <row r="72" spans="2:52" ht="15" customHeight="1" x14ac:dyDescent="0.25">
      <c r="B72" s="227" t="s">
        <v>213</v>
      </c>
      <c r="C72" s="227"/>
      <c r="D72" s="227"/>
      <c r="E72" s="227"/>
      <c r="F72" s="227"/>
      <c r="G72" s="227"/>
      <c r="H72" s="227"/>
      <c r="I72" s="271">
        <v>3.09E-2</v>
      </c>
      <c r="J72" s="271"/>
      <c r="K72" s="271"/>
      <c r="L72" s="271"/>
      <c r="M72" s="271"/>
      <c r="N72" s="112"/>
      <c r="O72" s="275" t="s">
        <v>213</v>
      </c>
      <c r="P72" s="275"/>
      <c r="Q72" s="275"/>
      <c r="R72" s="275"/>
      <c r="S72" s="275"/>
      <c r="T72" s="275"/>
      <c r="U72" s="275"/>
      <c r="V72" s="271">
        <v>0.11</v>
      </c>
      <c r="W72" s="271"/>
      <c r="X72" s="271"/>
      <c r="Y72" s="271"/>
      <c r="Z72" s="271"/>
      <c r="AB72" s="228" t="s">
        <v>213</v>
      </c>
      <c r="AC72" s="228"/>
      <c r="AD72" s="228"/>
      <c r="AE72" s="228"/>
      <c r="AF72" s="228"/>
      <c r="AG72" s="228"/>
      <c r="AH72" s="228"/>
      <c r="AI72" s="271">
        <v>6.7500000000000004E-2</v>
      </c>
      <c r="AJ72" s="271"/>
      <c r="AK72" s="271"/>
      <c r="AL72" s="271"/>
      <c r="AM72" s="271"/>
      <c r="AO72" s="228" t="s">
        <v>213</v>
      </c>
      <c r="AP72" s="228"/>
      <c r="AQ72" s="228"/>
      <c r="AR72" s="228"/>
      <c r="AS72" s="228"/>
      <c r="AT72" s="228"/>
      <c r="AU72" s="228"/>
      <c r="AV72" s="271">
        <v>0.19989999999999999</v>
      </c>
      <c r="AW72" s="271"/>
      <c r="AX72" s="271"/>
      <c r="AY72" s="271"/>
      <c r="AZ72" s="271"/>
    </row>
    <row r="73" spans="2:52" ht="15" customHeight="1" x14ac:dyDescent="0.25">
      <c r="B73" s="227" t="s">
        <v>18</v>
      </c>
      <c r="C73" s="227"/>
      <c r="D73" s="227"/>
      <c r="E73" s="227"/>
      <c r="F73" s="227"/>
      <c r="G73" s="227"/>
      <c r="H73" s="227"/>
      <c r="I73" s="272">
        <v>25</v>
      </c>
      <c r="J73" s="272"/>
      <c r="K73" s="272"/>
      <c r="L73" s="272"/>
      <c r="M73" s="272"/>
      <c r="N73" s="113"/>
      <c r="O73" s="276" t="s">
        <v>18</v>
      </c>
      <c r="P73" s="276"/>
      <c r="Q73" s="276"/>
      <c r="R73" s="276"/>
      <c r="S73" s="276"/>
      <c r="T73" s="276"/>
      <c r="U73" s="276"/>
      <c r="V73" s="272">
        <v>25</v>
      </c>
      <c r="W73" s="272"/>
      <c r="X73" s="272"/>
      <c r="Y73" s="272"/>
      <c r="Z73" s="272"/>
      <c r="AB73" s="269"/>
      <c r="AC73" s="269"/>
      <c r="AD73" s="269"/>
      <c r="AE73" s="269"/>
      <c r="AF73" s="269"/>
      <c r="AG73" s="269"/>
      <c r="AH73" s="269"/>
      <c r="AI73" s="474"/>
      <c r="AJ73" s="474"/>
      <c r="AK73" s="474"/>
      <c r="AL73" s="474"/>
      <c r="AM73" s="474"/>
      <c r="AO73" s="269"/>
      <c r="AP73" s="269"/>
      <c r="AQ73" s="269"/>
      <c r="AR73" s="269"/>
      <c r="AS73" s="269"/>
      <c r="AT73" s="269"/>
      <c r="AU73" s="269"/>
      <c r="AV73" s="474"/>
      <c r="AW73" s="474"/>
      <c r="AX73" s="474"/>
      <c r="AY73" s="474"/>
      <c r="AZ73" s="474"/>
    </row>
    <row r="74" spans="2:52" ht="15" customHeight="1" x14ac:dyDescent="0.25">
      <c r="B74" s="227" t="s">
        <v>233</v>
      </c>
      <c r="C74" s="227"/>
      <c r="D74" s="227"/>
      <c r="E74" s="227"/>
      <c r="F74" s="227"/>
      <c r="G74" s="227"/>
      <c r="H74" s="227"/>
      <c r="I74" s="273">
        <v>24</v>
      </c>
      <c r="J74" s="273"/>
      <c r="K74" s="273"/>
      <c r="L74" s="273"/>
      <c r="M74" s="273"/>
      <c r="N74" s="114"/>
      <c r="O74" s="228" t="s">
        <v>233</v>
      </c>
      <c r="P74" s="228"/>
      <c r="Q74" s="228"/>
      <c r="R74" s="228"/>
      <c r="S74" s="228"/>
      <c r="T74" s="228"/>
      <c r="U74" s="228"/>
      <c r="V74" s="273">
        <v>12</v>
      </c>
      <c r="W74" s="273"/>
      <c r="X74" s="273"/>
      <c r="Y74" s="273"/>
      <c r="Z74" s="273"/>
      <c r="AB74" s="269"/>
      <c r="AC74" s="269"/>
      <c r="AD74" s="269"/>
      <c r="AE74" s="269"/>
      <c r="AF74" s="269"/>
      <c r="AG74" s="269"/>
      <c r="AH74" s="269"/>
      <c r="AI74" s="474"/>
      <c r="AJ74" s="474"/>
      <c r="AK74" s="474"/>
      <c r="AL74" s="474"/>
      <c r="AM74" s="474"/>
      <c r="AO74" s="269"/>
      <c r="AP74" s="269"/>
      <c r="AQ74" s="269"/>
      <c r="AR74" s="269"/>
      <c r="AS74" s="269"/>
      <c r="AT74" s="269"/>
      <c r="AU74" s="269"/>
      <c r="AV74" s="474"/>
      <c r="AW74" s="474"/>
      <c r="AX74" s="474"/>
      <c r="AY74" s="474"/>
      <c r="AZ74" s="474"/>
    </row>
    <row r="75" spans="2:52" ht="15" customHeight="1" x14ac:dyDescent="0.25">
      <c r="B75" s="227" t="s">
        <v>289</v>
      </c>
      <c r="C75" s="227"/>
      <c r="D75" s="227"/>
      <c r="E75" s="227"/>
      <c r="F75" s="227"/>
      <c r="G75" s="227"/>
      <c r="H75" s="227"/>
      <c r="I75" s="229">
        <v>0</v>
      </c>
      <c r="J75" s="229"/>
      <c r="K75" s="229"/>
      <c r="L75" s="229"/>
      <c r="M75" s="229"/>
      <c r="N75" s="114"/>
      <c r="O75" s="228" t="s">
        <v>289</v>
      </c>
      <c r="P75" s="228"/>
      <c r="Q75" s="228"/>
      <c r="R75" s="228"/>
      <c r="S75" s="228"/>
      <c r="T75" s="228"/>
      <c r="U75" s="228"/>
      <c r="V75" s="229">
        <v>0</v>
      </c>
      <c r="W75" s="229"/>
      <c r="X75" s="229"/>
      <c r="Y75" s="229"/>
      <c r="Z75" s="229"/>
      <c r="AB75" s="230"/>
      <c r="AC75" s="230"/>
      <c r="AD75" s="230"/>
      <c r="AE75" s="230"/>
      <c r="AF75" s="230"/>
      <c r="AG75" s="230"/>
      <c r="AH75" s="230"/>
      <c r="AI75" s="450"/>
      <c r="AJ75" s="451"/>
      <c r="AK75" s="451"/>
      <c r="AL75" s="451"/>
      <c r="AM75" s="452"/>
      <c r="AO75" s="230"/>
      <c r="AP75" s="230"/>
      <c r="AQ75" s="230"/>
      <c r="AR75" s="230"/>
      <c r="AS75" s="230"/>
      <c r="AT75" s="230"/>
      <c r="AU75" s="230"/>
      <c r="AV75" s="450"/>
      <c r="AW75" s="451"/>
      <c r="AX75" s="451"/>
      <c r="AY75" s="451"/>
      <c r="AZ75" s="452"/>
    </row>
    <row r="76" spans="2:52" ht="15" customHeight="1" x14ac:dyDescent="0.25">
      <c r="B76" s="227" t="s">
        <v>214</v>
      </c>
      <c r="C76" s="227"/>
      <c r="D76" s="227"/>
      <c r="E76" s="227"/>
      <c r="F76" s="227"/>
      <c r="G76" s="227"/>
      <c r="H76" s="227"/>
      <c r="I76" s="270">
        <f>IFERROR(I71*((Data!$F$17)/(1-(1+Data!$F$17)^-(I73*12))),"")</f>
        <v>1186.4922279106593</v>
      </c>
      <c r="J76" s="270"/>
      <c r="K76" s="270"/>
      <c r="L76" s="270"/>
      <c r="M76" s="270"/>
      <c r="N76" s="65"/>
      <c r="O76" s="228" t="s">
        <v>214</v>
      </c>
      <c r="P76" s="228"/>
      <c r="Q76" s="228"/>
      <c r="R76" s="228"/>
      <c r="S76" s="228"/>
      <c r="T76" s="228"/>
      <c r="U76" s="228"/>
      <c r="V76" s="235">
        <f>IFERROR(V71*((Data!$F$18)/(1-(1+Data!$F$18)^-(V73*12))),"")</f>
        <v>466.82664723088078</v>
      </c>
      <c r="W76" s="235"/>
      <c r="X76" s="235"/>
      <c r="Y76" s="235"/>
      <c r="Z76" s="235"/>
      <c r="AB76" s="228" t="s">
        <v>214</v>
      </c>
      <c r="AC76" s="228"/>
      <c r="AD76" s="228"/>
      <c r="AE76" s="228"/>
      <c r="AF76" s="228"/>
      <c r="AG76" s="228"/>
      <c r="AH76" s="228"/>
      <c r="AI76" s="235">
        <f>AI71*(AI72/12)</f>
        <v>249.10194375000003</v>
      </c>
      <c r="AJ76" s="235"/>
      <c r="AK76" s="235"/>
      <c r="AL76" s="235"/>
      <c r="AM76" s="235"/>
      <c r="AO76" s="228" t="s">
        <v>214</v>
      </c>
      <c r="AP76" s="228"/>
      <c r="AQ76" s="228"/>
      <c r="AR76" s="228"/>
      <c r="AS76" s="228"/>
      <c r="AT76" s="228"/>
      <c r="AU76" s="228"/>
      <c r="AV76" s="235">
        <f>AV71*(AV72/12)</f>
        <v>737.71079341666666</v>
      </c>
      <c r="AW76" s="235"/>
      <c r="AX76" s="235"/>
      <c r="AY76" s="235"/>
      <c r="AZ76" s="235"/>
    </row>
    <row r="77" spans="2:52" ht="15" customHeight="1" thickBot="1" x14ac:dyDescent="0.3">
      <c r="D77" s="16"/>
      <c r="E77" s="16"/>
      <c r="F77" s="16"/>
      <c r="G77" s="16"/>
      <c r="H77" s="16"/>
      <c r="I77" s="441"/>
      <c r="J77" s="441"/>
      <c r="K77" s="441"/>
      <c r="L77" s="441"/>
      <c r="M77" s="441"/>
      <c r="N77" s="17"/>
      <c r="Q77" s="16"/>
      <c r="R77" s="16"/>
      <c r="S77" s="16"/>
      <c r="T77" s="16"/>
      <c r="U77" s="16"/>
      <c r="V77" s="441"/>
      <c r="W77" s="441"/>
      <c r="X77" s="441"/>
      <c r="Y77" s="441"/>
      <c r="Z77" s="441"/>
      <c r="AB77" s="18"/>
      <c r="AC77" s="18"/>
      <c r="AD77" s="15"/>
      <c r="AE77" s="15"/>
      <c r="AF77" s="15"/>
      <c r="AG77" s="15"/>
      <c r="AH77" s="15"/>
      <c r="AI77" s="441"/>
      <c r="AJ77" s="441"/>
      <c r="AK77" s="441"/>
      <c r="AL77" s="441"/>
      <c r="AM77" s="441"/>
      <c r="AQ77" s="16"/>
      <c r="AR77" s="16"/>
      <c r="AS77" s="16"/>
      <c r="AT77" s="16"/>
      <c r="AU77" s="16"/>
      <c r="AV77" s="441"/>
      <c r="AW77" s="441"/>
      <c r="AX77" s="441"/>
      <c r="AY77" s="441"/>
      <c r="AZ77" s="441"/>
    </row>
    <row r="78" spans="2:52" ht="15" customHeight="1" x14ac:dyDescent="0.25">
      <c r="B78" s="216" t="s">
        <v>215</v>
      </c>
      <c r="C78" s="217"/>
      <c r="D78" s="217"/>
      <c r="E78" s="217"/>
      <c r="F78" s="217"/>
      <c r="G78" s="217"/>
      <c r="H78" s="217"/>
      <c r="I78" s="442">
        <f>I76</f>
        <v>1186.4922279106593</v>
      </c>
      <c r="J78" s="443"/>
      <c r="K78" s="443"/>
      <c r="L78" s="443"/>
      <c r="M78" s="444"/>
      <c r="N78" s="19"/>
      <c r="O78" s="216" t="s">
        <v>215</v>
      </c>
      <c r="P78" s="217"/>
      <c r="Q78" s="217"/>
      <c r="R78" s="217"/>
      <c r="S78" s="217"/>
      <c r="T78" s="217"/>
      <c r="U78" s="217"/>
      <c r="V78" s="442">
        <f>$V$76+$I$48</f>
        <v>1666.8266472308808</v>
      </c>
      <c r="W78" s="443"/>
      <c r="X78" s="443"/>
      <c r="Y78" s="443"/>
      <c r="Z78" s="444"/>
      <c r="AB78" s="216" t="s">
        <v>215</v>
      </c>
      <c r="AC78" s="217"/>
      <c r="AD78" s="217"/>
      <c r="AE78" s="217"/>
      <c r="AF78" s="217"/>
      <c r="AG78" s="217"/>
      <c r="AH78" s="217"/>
      <c r="AI78" s="442">
        <f>I48+Z48+AI76</f>
        <v>1449.1019437499999</v>
      </c>
      <c r="AJ78" s="443"/>
      <c r="AK78" s="443"/>
      <c r="AL78" s="443"/>
      <c r="AM78" s="444"/>
      <c r="AO78" s="216" t="s">
        <v>215</v>
      </c>
      <c r="AP78" s="217"/>
      <c r="AQ78" s="217"/>
      <c r="AR78" s="217"/>
      <c r="AS78" s="217"/>
      <c r="AT78" s="217"/>
      <c r="AU78" s="217"/>
      <c r="AV78" s="442">
        <f>I48+Z48+AV76</f>
        <v>1937.7107934166665</v>
      </c>
      <c r="AW78" s="443"/>
      <c r="AX78" s="443"/>
      <c r="AY78" s="443"/>
      <c r="AZ78" s="444"/>
    </row>
    <row r="79" spans="2:52" ht="15" customHeight="1" x14ac:dyDescent="0.25">
      <c r="B79" s="310" t="s">
        <v>319</v>
      </c>
      <c r="C79" s="311"/>
      <c r="D79" s="311"/>
      <c r="E79" s="311"/>
      <c r="F79" s="311"/>
      <c r="G79" s="311"/>
      <c r="H79" s="311"/>
      <c r="I79" s="205">
        <f>AS50-I78</f>
        <v>1161.5077720893407</v>
      </c>
      <c r="J79" s="206"/>
      <c r="K79" s="206"/>
      <c r="L79" s="206"/>
      <c r="M79" s="207"/>
      <c r="N79" s="19"/>
      <c r="O79" s="310" t="s">
        <v>319</v>
      </c>
      <c r="P79" s="311"/>
      <c r="Q79" s="311"/>
      <c r="R79" s="311"/>
      <c r="S79" s="311"/>
      <c r="T79" s="311"/>
      <c r="U79" s="311"/>
      <c r="V79" s="205">
        <f>$AS$50-$V$78</f>
        <v>681.17335276911922</v>
      </c>
      <c r="W79" s="206"/>
      <c r="X79" s="206"/>
      <c r="Y79" s="206"/>
      <c r="Z79" s="207"/>
      <c r="AB79" s="310" t="s">
        <v>319</v>
      </c>
      <c r="AC79" s="311"/>
      <c r="AD79" s="311"/>
      <c r="AE79" s="311"/>
      <c r="AF79" s="311"/>
      <c r="AG79" s="311"/>
      <c r="AH79" s="311"/>
      <c r="AI79" s="205">
        <f>$AS$50-AI78</f>
        <v>898.89805625000008</v>
      </c>
      <c r="AJ79" s="206"/>
      <c r="AK79" s="206"/>
      <c r="AL79" s="206"/>
      <c r="AM79" s="207"/>
      <c r="AO79" s="310" t="s">
        <v>319</v>
      </c>
      <c r="AP79" s="311"/>
      <c r="AQ79" s="311"/>
      <c r="AR79" s="311"/>
      <c r="AS79" s="311"/>
      <c r="AT79" s="311"/>
      <c r="AU79" s="311"/>
      <c r="AV79" s="205">
        <f>AS50-AV78</f>
        <v>410.28920658333345</v>
      </c>
      <c r="AW79" s="206"/>
      <c r="AX79" s="206"/>
      <c r="AY79" s="206"/>
      <c r="AZ79" s="207"/>
    </row>
    <row r="80" spans="2:52" ht="15" customHeight="1" x14ac:dyDescent="0.25">
      <c r="B80" s="310" t="s">
        <v>216</v>
      </c>
      <c r="C80" s="311"/>
      <c r="D80" s="311"/>
      <c r="E80" s="311"/>
      <c r="F80" s="311"/>
      <c r="G80" s="311"/>
      <c r="H80" s="311"/>
      <c r="I80" s="208"/>
      <c r="J80" s="209"/>
      <c r="K80" s="209"/>
      <c r="L80" s="209"/>
      <c r="M80" s="210"/>
      <c r="N80" s="20"/>
      <c r="O80" s="310" t="s">
        <v>216</v>
      </c>
      <c r="P80" s="311"/>
      <c r="Q80" s="311"/>
      <c r="R80" s="311"/>
      <c r="S80" s="311"/>
      <c r="T80" s="311"/>
      <c r="U80" s="311"/>
      <c r="V80" s="208">
        <f>IFERROR(((I43*I45)+(V71*V72))/(I43+V71),0)</f>
        <v>4.2457821782178218E-2</v>
      </c>
      <c r="W80" s="209"/>
      <c r="X80" s="209"/>
      <c r="Y80" s="209"/>
      <c r="Z80" s="210"/>
      <c r="AB80" s="310" t="s">
        <v>216</v>
      </c>
      <c r="AC80" s="311"/>
      <c r="AD80" s="311"/>
      <c r="AE80" s="311"/>
      <c r="AF80" s="311"/>
      <c r="AG80" s="311"/>
      <c r="AH80" s="311"/>
      <c r="AI80" s="208">
        <f>IFERROR(((AI71*AI72)+(I43*I45)+(Z43*Z45))/(I43+Z43+AI68),0)</f>
        <v>3.3730714334132189E-2</v>
      </c>
      <c r="AJ80" s="209"/>
      <c r="AK80" s="209"/>
      <c r="AL80" s="209"/>
      <c r="AM80" s="210"/>
      <c r="AO80" s="310" t="s">
        <v>216</v>
      </c>
      <c r="AP80" s="311"/>
      <c r="AQ80" s="311"/>
      <c r="AR80" s="311"/>
      <c r="AS80" s="311"/>
      <c r="AT80" s="311"/>
      <c r="AU80" s="311"/>
      <c r="AV80" s="208">
        <f>IFERROR(((AV71*AV72)+(I43*I45)+(Z43*Z45))/(I43+Z43+AV68),0)</f>
        <v>5.734595953703004E-2</v>
      </c>
      <c r="AW80" s="209"/>
      <c r="AX80" s="209"/>
      <c r="AY80" s="209"/>
      <c r="AZ80" s="210"/>
    </row>
    <row r="81" spans="2:56" ht="15" customHeight="1" thickBot="1" x14ac:dyDescent="0.3">
      <c r="B81" s="214" t="s">
        <v>217</v>
      </c>
      <c r="C81" s="215"/>
      <c r="D81" s="215"/>
      <c r="E81" s="215"/>
      <c r="F81" s="215"/>
      <c r="G81" s="215"/>
      <c r="H81" s="215"/>
      <c r="I81" s="211"/>
      <c r="J81" s="212"/>
      <c r="K81" s="212"/>
      <c r="L81" s="212"/>
      <c r="M81" s="213"/>
      <c r="N81" s="19"/>
      <c r="O81" s="214" t="s">
        <v>217</v>
      </c>
      <c r="P81" s="215"/>
      <c r="Q81" s="215"/>
      <c r="R81" s="215"/>
      <c r="S81" s="215"/>
      <c r="T81" s="215"/>
      <c r="U81" s="215"/>
      <c r="V81" s="211"/>
      <c r="W81" s="212"/>
      <c r="X81" s="212"/>
      <c r="Y81" s="212"/>
      <c r="Z81" s="213"/>
      <c r="AB81" s="214" t="s">
        <v>217</v>
      </c>
      <c r="AC81" s="215"/>
      <c r="AD81" s="215"/>
      <c r="AE81" s="215"/>
      <c r="AF81" s="215"/>
      <c r="AG81" s="215"/>
      <c r="AH81" s="215"/>
      <c r="AI81" s="211"/>
      <c r="AJ81" s="212"/>
      <c r="AK81" s="212"/>
      <c r="AL81" s="212"/>
      <c r="AM81" s="213"/>
      <c r="AO81" s="214" t="s">
        <v>217</v>
      </c>
      <c r="AP81" s="215"/>
      <c r="AQ81" s="215"/>
      <c r="AR81" s="215"/>
      <c r="AS81" s="215"/>
      <c r="AT81" s="215"/>
      <c r="AU81" s="215"/>
      <c r="AV81" s="211"/>
      <c r="AW81" s="212"/>
      <c r="AX81" s="212"/>
      <c r="AY81" s="212"/>
      <c r="AZ81" s="213"/>
    </row>
    <row r="82" spans="2:56" ht="18" customHeight="1" x14ac:dyDescent="0.25">
      <c r="B82" s="48"/>
      <c r="C82" s="48"/>
      <c r="D82" s="49"/>
      <c r="E82" s="49"/>
      <c r="F82" s="49"/>
      <c r="G82" s="49"/>
      <c r="H82" s="49"/>
      <c r="I82" s="49"/>
      <c r="J82" s="49"/>
      <c r="K82" s="49"/>
      <c r="L82" s="49"/>
      <c r="M82" s="49"/>
      <c r="N82" s="49"/>
      <c r="O82" s="49"/>
      <c r="P82" s="49"/>
      <c r="Q82" s="49"/>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row>
    <row r="83" spans="2:56" ht="18" customHeight="1" thickBot="1" x14ac:dyDescent="0.3"/>
    <row r="84" spans="2:56" ht="15" customHeight="1" x14ac:dyDescent="0.25">
      <c r="B84" s="139" t="s">
        <v>146</v>
      </c>
      <c r="C84" s="140"/>
      <c r="D84" s="101" t="s">
        <v>227</v>
      </c>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7"/>
    </row>
    <row r="85" spans="2:56" ht="15" customHeight="1" thickBot="1" x14ac:dyDescent="0.3">
      <c r="B85" s="141"/>
      <c r="C85" s="142"/>
      <c r="D85" s="103"/>
      <c r="E85" s="104"/>
      <c r="F85" s="104"/>
      <c r="G85" s="104"/>
      <c r="H85" s="104"/>
      <c r="I85" s="104"/>
      <c r="J85" s="104"/>
      <c r="K85" s="104"/>
      <c r="L85" s="104"/>
      <c r="M85" s="104"/>
      <c r="N85" s="104"/>
      <c r="O85" s="104"/>
      <c r="P85" s="104"/>
      <c r="Q85" s="104"/>
      <c r="R85" s="104"/>
      <c r="S85" s="104"/>
      <c r="T85" s="104"/>
      <c r="U85" s="104"/>
      <c r="V85" s="104"/>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8"/>
    </row>
    <row r="86" spans="2:56" ht="15" customHeight="1" thickBot="1" x14ac:dyDescent="0.3"/>
    <row r="87" spans="2:56" ht="14.45" customHeight="1" x14ac:dyDescent="0.25">
      <c r="B87" s="242" t="s">
        <v>191</v>
      </c>
      <c r="C87" s="150"/>
      <c r="D87" s="143" t="s">
        <v>229</v>
      </c>
      <c r="E87" s="144"/>
      <c r="F87" s="144"/>
      <c r="G87" s="144"/>
      <c r="H87" s="144"/>
      <c r="I87" s="144"/>
      <c r="J87" s="144"/>
      <c r="K87" s="144"/>
      <c r="L87" s="144"/>
      <c r="M87" s="145"/>
    </row>
    <row r="88" spans="2:56" ht="14.45" customHeight="1" thickBot="1" x14ac:dyDescent="0.3">
      <c r="B88" s="312"/>
      <c r="C88" s="313"/>
      <c r="D88" s="314"/>
      <c r="E88" s="315"/>
      <c r="F88" s="315"/>
      <c r="G88" s="315"/>
      <c r="H88" s="315"/>
      <c r="I88" s="315"/>
      <c r="J88" s="315"/>
      <c r="K88" s="315"/>
      <c r="L88" s="315"/>
      <c r="M88" s="316"/>
    </row>
    <row r="89" spans="2:56" ht="14.45" customHeight="1" x14ac:dyDescent="0.25">
      <c r="B89" s="236"/>
      <c r="C89" s="466" t="s">
        <v>127</v>
      </c>
      <c r="D89" s="466"/>
      <c r="E89" s="466"/>
      <c r="F89" s="466"/>
      <c r="G89" s="466"/>
      <c r="H89" s="466"/>
      <c r="I89" s="466"/>
      <c r="J89" s="466"/>
      <c r="K89" s="466"/>
      <c r="L89" s="466"/>
      <c r="M89" s="467"/>
      <c r="N89" s="115" t="s">
        <v>128</v>
      </c>
      <c r="O89" s="116"/>
      <c r="P89" s="116"/>
      <c r="Q89" s="116"/>
      <c r="R89" s="116"/>
      <c r="S89" s="116"/>
      <c r="T89" s="116"/>
      <c r="U89" s="116"/>
      <c r="V89" s="116"/>
      <c r="W89" s="116"/>
      <c r="X89" s="116"/>
      <c r="Y89" s="116"/>
      <c r="Z89" s="116"/>
      <c r="AA89" s="116"/>
      <c r="AB89" s="116"/>
      <c r="AC89" s="116"/>
      <c r="AD89" s="116"/>
      <c r="AE89" s="116"/>
      <c r="AF89" s="116"/>
      <c r="AG89" s="116"/>
      <c r="AH89" s="116"/>
      <c r="AI89" s="117"/>
      <c r="AJ89" s="470" t="s">
        <v>126</v>
      </c>
      <c r="AK89" s="471"/>
      <c r="AL89" s="471"/>
      <c r="AM89" s="471"/>
      <c r="AN89" s="471"/>
      <c r="AO89" s="471"/>
      <c r="AP89" s="470" t="s">
        <v>132</v>
      </c>
      <c r="AQ89" s="471"/>
      <c r="AR89" s="471"/>
      <c r="AS89" s="471"/>
      <c r="AT89" s="471"/>
      <c r="AU89" s="475"/>
      <c r="AV89" s="56"/>
      <c r="AW89" s="57"/>
      <c r="AX89" s="57"/>
      <c r="AY89" s="57"/>
      <c r="AZ89" s="58"/>
    </row>
    <row r="90" spans="2:56" ht="14.45" customHeight="1" x14ac:dyDescent="0.25">
      <c r="B90" s="237"/>
      <c r="C90" s="468"/>
      <c r="D90" s="468"/>
      <c r="E90" s="468"/>
      <c r="F90" s="468"/>
      <c r="G90" s="468"/>
      <c r="H90" s="468"/>
      <c r="I90" s="468"/>
      <c r="J90" s="468"/>
      <c r="K90" s="468"/>
      <c r="L90" s="468"/>
      <c r="M90" s="469"/>
      <c r="N90" s="118"/>
      <c r="O90" s="119"/>
      <c r="P90" s="119"/>
      <c r="Q90" s="119"/>
      <c r="R90" s="119"/>
      <c r="S90" s="119"/>
      <c r="T90" s="119"/>
      <c r="U90" s="119"/>
      <c r="V90" s="119"/>
      <c r="W90" s="119"/>
      <c r="X90" s="119"/>
      <c r="Y90" s="119"/>
      <c r="Z90" s="119"/>
      <c r="AA90" s="119"/>
      <c r="AB90" s="119"/>
      <c r="AC90" s="119"/>
      <c r="AD90" s="119"/>
      <c r="AE90" s="119"/>
      <c r="AF90" s="119"/>
      <c r="AG90" s="119"/>
      <c r="AH90" s="119"/>
      <c r="AI90" s="120"/>
      <c r="AJ90" s="472"/>
      <c r="AK90" s="473"/>
      <c r="AL90" s="473"/>
      <c r="AM90" s="473"/>
      <c r="AN90" s="473"/>
      <c r="AO90" s="473"/>
      <c r="AP90" s="472"/>
      <c r="AQ90" s="473"/>
      <c r="AR90" s="473"/>
      <c r="AS90" s="473"/>
      <c r="AT90" s="473"/>
      <c r="AU90" s="476"/>
      <c r="AV90" s="54"/>
      <c r="AW90" s="55"/>
      <c r="AX90" s="55"/>
      <c r="AY90" s="55"/>
      <c r="AZ90" s="59"/>
    </row>
    <row r="91" spans="2:56" ht="14.45" customHeight="1" x14ac:dyDescent="0.25">
      <c r="B91" s="24">
        <f>IF(AZ91="","",1)</f>
        <v>1</v>
      </c>
      <c r="C91" s="238" t="str">
        <f>IF(LEN($B91)&gt;0,"Pay off "&amp;INDEX($C$11:$C$30,(MATCH($AZ91,$B$11:$B$30,0)))&amp;" Debt","")</f>
        <v>Pay off Sears Chase Debt</v>
      </c>
      <c r="D91" s="238"/>
      <c r="E91" s="238"/>
      <c r="F91" s="238"/>
      <c r="G91" s="238"/>
      <c r="H91" s="238"/>
      <c r="I91" s="238"/>
      <c r="J91" s="238"/>
      <c r="K91" s="238"/>
      <c r="L91" s="238"/>
      <c r="M91" s="238"/>
      <c r="N91" s="121"/>
      <c r="O91" s="122"/>
      <c r="P91" s="122"/>
      <c r="Q91" s="122"/>
      <c r="R91" s="122"/>
      <c r="S91" s="122"/>
      <c r="T91" s="122"/>
      <c r="U91" s="122"/>
      <c r="V91" s="122"/>
      <c r="W91" s="122"/>
      <c r="X91" s="122"/>
      <c r="Y91" s="122"/>
      <c r="Z91" s="122"/>
      <c r="AA91" s="122"/>
      <c r="AB91" s="122"/>
      <c r="AC91" s="122"/>
      <c r="AD91" s="122"/>
      <c r="AE91" s="122"/>
      <c r="AF91" s="122"/>
      <c r="AG91" s="122"/>
      <c r="AH91" s="122"/>
      <c r="AI91" s="123"/>
      <c r="AJ91" s="464">
        <f>IF(LEN($B91)&gt;0,INDEX($X$11:$X$30,(MATCH($AZ91,$B$11:$B$30,0))),0)</f>
        <v>135</v>
      </c>
      <c r="AK91" s="464"/>
      <c r="AL91" s="464"/>
      <c r="AM91" s="464"/>
      <c r="AN91" s="464"/>
      <c r="AO91" s="464"/>
      <c r="AP91" s="464">
        <f>IF(LEN($B91)&gt;0,INDEX($P$11:$P$30,(MATCH($AZ91,$B$11:$B$30,0))),0)</f>
        <v>3949</v>
      </c>
      <c r="AQ91" s="464"/>
      <c r="AR91" s="464"/>
      <c r="AS91" s="464"/>
      <c r="AT91" s="464"/>
      <c r="AU91" s="465"/>
      <c r="AV91" s="487" t="b">
        <f t="shared" ref="AV91:AV110" si="3">IFERROR(IF(LEFT($AP11,FIND(" ",$AP11,1)-1)="payout",TRUE),FALSE)</f>
        <v>1</v>
      </c>
      <c r="AW91" s="488"/>
      <c r="AX91" s="488"/>
      <c r="AY91" s="55">
        <f t="shared" ref="AY91:AY110" si="4">IF(AV91,B11,"")</f>
        <v>1</v>
      </c>
      <c r="AZ91" s="59">
        <f t="array" ref="AZ91">IF(ROWS($AZ$91:AZ91)&gt;COUNT($AY$91:$AY$110),"",INDEX($AY$91:$AY$110,SMALL(IF($AY$91:$AY$110&lt;&gt;"",ROW($AY$91:$AY$110)-ROW($AY$91)+1),ROWS($AZ$91:AZ91))))</f>
        <v>1</v>
      </c>
    </row>
    <row r="92" spans="2:56" ht="14.45" customHeight="1" x14ac:dyDescent="0.25">
      <c r="B92" s="24">
        <f>IF(AZ92="","",2)</f>
        <v>2</v>
      </c>
      <c r="C92" s="238" t="str">
        <f>IF(LEN($B92)&gt;0,"Pay off "&amp;INDEX($C$11:$C$30,(MATCH($AZ92,$B$11:$B$30,0)))&amp;" Debt","")</f>
        <v>Pay off RBC Visa Debt</v>
      </c>
      <c r="D92" s="238"/>
      <c r="E92" s="238"/>
      <c r="F92" s="238"/>
      <c r="G92" s="238"/>
      <c r="H92" s="238"/>
      <c r="I92" s="238"/>
      <c r="J92" s="238"/>
      <c r="K92" s="238"/>
      <c r="L92" s="238"/>
      <c r="M92" s="238"/>
      <c r="N92" s="124"/>
      <c r="O92" s="125"/>
      <c r="P92" s="125"/>
      <c r="Q92" s="125"/>
      <c r="R92" s="125"/>
      <c r="S92" s="125"/>
      <c r="T92" s="125"/>
      <c r="U92" s="125"/>
      <c r="V92" s="125"/>
      <c r="W92" s="125"/>
      <c r="X92" s="125"/>
      <c r="Y92" s="125"/>
      <c r="Z92" s="125"/>
      <c r="AA92" s="125"/>
      <c r="AB92" s="125"/>
      <c r="AC92" s="125"/>
      <c r="AD92" s="125"/>
      <c r="AE92" s="125"/>
      <c r="AF92" s="125"/>
      <c r="AG92" s="125"/>
      <c r="AH92" s="125"/>
      <c r="AI92" s="126"/>
      <c r="AJ92" s="464">
        <f t="shared" ref="AJ92:AJ110" si="5">IF(LEN($B92)&gt;0,INDEX($X$11:$X$30,(MATCH($AZ92,$B$11:$B$30,0))),0)</f>
        <v>404</v>
      </c>
      <c r="AK92" s="464"/>
      <c r="AL92" s="464"/>
      <c r="AM92" s="464"/>
      <c r="AN92" s="464"/>
      <c r="AO92" s="464"/>
      <c r="AP92" s="464">
        <f t="shared" ref="AP92:AP110" si="6">IF(LEN($B92)&gt;0,INDEX($P$11:$P$30,(MATCH($AZ92,$B$11:$B$30,0))),0)</f>
        <v>19000</v>
      </c>
      <c r="AQ92" s="464"/>
      <c r="AR92" s="464"/>
      <c r="AS92" s="464"/>
      <c r="AT92" s="464"/>
      <c r="AU92" s="465"/>
      <c r="AV92" s="487" t="b">
        <f t="shared" si="3"/>
        <v>1</v>
      </c>
      <c r="AW92" s="488"/>
      <c r="AX92" s="488"/>
      <c r="AY92" s="55">
        <f t="shared" si="4"/>
        <v>2</v>
      </c>
      <c r="AZ92" s="59">
        <f t="array" ref="AZ92">IF(ROWS($AZ$91:AZ92)&gt;COUNT($AY$91:$AY$110),"",INDEX($AY$91:$AY$110,SMALL(IF($AY$91:$AY$110&lt;&gt;"",ROW($AY$91:$AY$110)-ROW($AY$91)+1),ROWS($AZ$91:AZ92))))</f>
        <v>2</v>
      </c>
      <c r="BA92" s="149"/>
      <c r="BB92" s="149"/>
      <c r="BC92" s="149"/>
      <c r="BD92" s="149"/>
    </row>
    <row r="93" spans="2:56" ht="14.45" customHeight="1" x14ac:dyDescent="0.25">
      <c r="B93" s="24">
        <f>IF(AZ93="","",3)</f>
        <v>3</v>
      </c>
      <c r="C93" s="238" t="str">
        <f t="shared" ref="C93:C110" si="7">IF(LEN($B93)&gt;0,"Pay off "&amp;INDEX($C$11:$C$30,(MATCH($AZ93,$B$11:$B$30,0)))&amp;" Debt","")</f>
        <v>Pay off American Express Debt</v>
      </c>
      <c r="D93" s="238"/>
      <c r="E93" s="238"/>
      <c r="F93" s="238"/>
      <c r="G93" s="238"/>
      <c r="H93" s="238"/>
      <c r="I93" s="238"/>
      <c r="J93" s="238"/>
      <c r="K93" s="238"/>
      <c r="L93" s="238"/>
      <c r="M93" s="238"/>
      <c r="N93" s="124"/>
      <c r="O93" s="125"/>
      <c r="P93" s="125"/>
      <c r="Q93" s="125"/>
      <c r="R93" s="125"/>
      <c r="S93" s="125"/>
      <c r="T93" s="125"/>
      <c r="U93" s="125"/>
      <c r="V93" s="125"/>
      <c r="W93" s="125"/>
      <c r="X93" s="125"/>
      <c r="Y93" s="125"/>
      <c r="Z93" s="125"/>
      <c r="AA93" s="125"/>
      <c r="AB93" s="125"/>
      <c r="AC93" s="125"/>
      <c r="AD93" s="125"/>
      <c r="AE93" s="125"/>
      <c r="AF93" s="125"/>
      <c r="AG93" s="125"/>
      <c r="AH93" s="125"/>
      <c r="AI93" s="126"/>
      <c r="AJ93" s="464">
        <f t="shared" si="5"/>
        <v>30</v>
      </c>
      <c r="AK93" s="464"/>
      <c r="AL93" s="464"/>
      <c r="AM93" s="464"/>
      <c r="AN93" s="464"/>
      <c r="AO93" s="464"/>
      <c r="AP93" s="464">
        <f t="shared" si="6"/>
        <v>1040</v>
      </c>
      <c r="AQ93" s="464"/>
      <c r="AR93" s="464"/>
      <c r="AS93" s="464"/>
      <c r="AT93" s="464"/>
      <c r="AU93" s="465"/>
      <c r="AV93" s="487" t="b">
        <f t="shared" si="3"/>
        <v>1</v>
      </c>
      <c r="AW93" s="488"/>
      <c r="AX93" s="488"/>
      <c r="AY93" s="55">
        <f t="shared" si="4"/>
        <v>3</v>
      </c>
      <c r="AZ93" s="59">
        <f t="array" ref="AZ93">IF(ROWS($AZ$91:AZ93)&gt;COUNT($AY$91:$AY$110),"",INDEX($AY$91:$AY$110,SMALL(IF($AY$91:$AY$110&lt;&gt;"",ROW($AY$91:$AY$110)-ROW($AY$91)+1),ROWS($AZ$91:AZ93))))</f>
        <v>3</v>
      </c>
    </row>
    <row r="94" spans="2:56" ht="14.45" customHeight="1" x14ac:dyDescent="0.25">
      <c r="B94" s="24">
        <f>IF(AZ94="","",4)</f>
        <v>4</v>
      </c>
      <c r="C94" s="238" t="str">
        <f t="shared" si="7"/>
        <v>Pay off Canadian Tire Bank Debt</v>
      </c>
      <c r="D94" s="238"/>
      <c r="E94" s="238"/>
      <c r="F94" s="238"/>
      <c r="G94" s="238"/>
      <c r="H94" s="238"/>
      <c r="I94" s="238"/>
      <c r="J94" s="238"/>
      <c r="K94" s="238"/>
      <c r="L94" s="238"/>
      <c r="M94" s="238"/>
      <c r="N94" s="124"/>
      <c r="O94" s="125"/>
      <c r="P94" s="125"/>
      <c r="Q94" s="125"/>
      <c r="R94" s="125"/>
      <c r="S94" s="125"/>
      <c r="T94" s="125"/>
      <c r="U94" s="125"/>
      <c r="V94" s="125"/>
      <c r="W94" s="125"/>
      <c r="X94" s="125"/>
      <c r="Y94" s="125"/>
      <c r="Z94" s="125"/>
      <c r="AA94" s="125"/>
      <c r="AB94" s="125"/>
      <c r="AC94" s="125"/>
      <c r="AD94" s="125"/>
      <c r="AE94" s="125"/>
      <c r="AF94" s="125"/>
      <c r="AG94" s="125"/>
      <c r="AH94" s="125"/>
      <c r="AI94" s="126"/>
      <c r="AJ94" s="464">
        <f t="shared" si="5"/>
        <v>60</v>
      </c>
      <c r="AK94" s="464"/>
      <c r="AL94" s="464"/>
      <c r="AM94" s="464"/>
      <c r="AN94" s="464"/>
      <c r="AO94" s="464"/>
      <c r="AP94" s="464">
        <f t="shared" si="6"/>
        <v>1516</v>
      </c>
      <c r="AQ94" s="464"/>
      <c r="AR94" s="464"/>
      <c r="AS94" s="464"/>
      <c r="AT94" s="464"/>
      <c r="AU94" s="465"/>
      <c r="AV94" s="487" t="b">
        <f t="shared" si="3"/>
        <v>1</v>
      </c>
      <c r="AW94" s="488"/>
      <c r="AX94" s="488"/>
      <c r="AY94" s="55">
        <f t="shared" si="4"/>
        <v>4</v>
      </c>
      <c r="AZ94" s="59">
        <f t="array" ref="AZ94">IF(ROWS($AZ$91:AZ94)&gt;COUNT($AY$91:$AY$110),"",INDEX($AY$91:$AY$110,SMALL(IF($AY$91:$AY$110&lt;&gt;"",ROW($AY$91:$AY$110)-ROW($AY$91)+1),ROWS($AZ$91:AZ94))))</f>
        <v>4</v>
      </c>
    </row>
    <row r="95" spans="2:56" ht="14.45" customHeight="1" x14ac:dyDescent="0.25">
      <c r="B95" s="24">
        <f>IF(AZ95="","",5)</f>
        <v>5</v>
      </c>
      <c r="C95" s="238" t="str">
        <f t="shared" si="7"/>
        <v>Pay off Capital One HBC Debt</v>
      </c>
      <c r="D95" s="238"/>
      <c r="E95" s="238"/>
      <c r="F95" s="238"/>
      <c r="G95" s="238"/>
      <c r="H95" s="238"/>
      <c r="I95" s="238"/>
      <c r="J95" s="238"/>
      <c r="K95" s="238"/>
      <c r="L95" s="238"/>
      <c r="M95" s="238"/>
      <c r="N95" s="124"/>
      <c r="O95" s="125"/>
      <c r="P95" s="125"/>
      <c r="Q95" s="125"/>
      <c r="R95" s="125"/>
      <c r="S95" s="125"/>
      <c r="T95" s="125"/>
      <c r="U95" s="125"/>
      <c r="V95" s="125"/>
      <c r="W95" s="125"/>
      <c r="X95" s="125"/>
      <c r="Y95" s="125"/>
      <c r="Z95" s="125"/>
      <c r="AA95" s="125"/>
      <c r="AB95" s="125"/>
      <c r="AC95" s="125"/>
      <c r="AD95" s="125"/>
      <c r="AE95" s="125"/>
      <c r="AF95" s="125"/>
      <c r="AG95" s="125"/>
      <c r="AH95" s="125"/>
      <c r="AI95" s="126"/>
      <c r="AJ95" s="464">
        <f t="shared" si="5"/>
        <v>98</v>
      </c>
      <c r="AK95" s="464"/>
      <c r="AL95" s="464"/>
      <c r="AM95" s="464"/>
      <c r="AN95" s="464"/>
      <c r="AO95" s="464"/>
      <c r="AP95" s="464">
        <f t="shared" si="6"/>
        <v>2918</v>
      </c>
      <c r="AQ95" s="464"/>
      <c r="AR95" s="464"/>
      <c r="AS95" s="464"/>
      <c r="AT95" s="464"/>
      <c r="AU95" s="465"/>
      <c r="AV95" s="487" t="b">
        <f t="shared" si="3"/>
        <v>1</v>
      </c>
      <c r="AW95" s="488"/>
      <c r="AX95" s="488"/>
      <c r="AY95" s="55">
        <f t="shared" si="4"/>
        <v>5</v>
      </c>
      <c r="AZ95" s="59">
        <f t="array" ref="AZ95">IF(ROWS($AZ$91:AZ95)&gt;COUNT($AY$91:$AY$110),"",INDEX($AY$91:$AY$110,SMALL(IF($AY$91:$AY$110&lt;&gt;"",ROW($AY$91:$AY$110)-ROW($AY$91)+1),ROWS($AZ$91:AZ95))))</f>
        <v>5</v>
      </c>
    </row>
    <row r="96" spans="2:56" ht="14.45" customHeight="1" x14ac:dyDescent="0.25">
      <c r="B96" s="24">
        <f>IF(AZ96="","",6)</f>
        <v>6</v>
      </c>
      <c r="C96" s="238" t="str">
        <f t="shared" si="7"/>
        <v>Pay off CIBC Debt</v>
      </c>
      <c r="D96" s="238"/>
      <c r="E96" s="238"/>
      <c r="F96" s="238"/>
      <c r="G96" s="238"/>
      <c r="H96" s="238"/>
      <c r="I96" s="238"/>
      <c r="J96" s="238"/>
      <c r="K96" s="238"/>
      <c r="L96" s="238"/>
      <c r="M96" s="238"/>
      <c r="N96" s="124"/>
      <c r="O96" s="125"/>
      <c r="P96" s="125"/>
      <c r="Q96" s="125"/>
      <c r="R96" s="125"/>
      <c r="S96" s="125"/>
      <c r="T96" s="125"/>
      <c r="U96" s="125"/>
      <c r="V96" s="125"/>
      <c r="W96" s="125"/>
      <c r="X96" s="125"/>
      <c r="Y96" s="125"/>
      <c r="Z96" s="125"/>
      <c r="AA96" s="125"/>
      <c r="AB96" s="125"/>
      <c r="AC96" s="125"/>
      <c r="AD96" s="125"/>
      <c r="AE96" s="125"/>
      <c r="AF96" s="125"/>
      <c r="AG96" s="125"/>
      <c r="AH96" s="125"/>
      <c r="AI96" s="126"/>
      <c r="AJ96" s="464">
        <f t="shared" si="5"/>
        <v>186</v>
      </c>
      <c r="AK96" s="464"/>
      <c r="AL96" s="464"/>
      <c r="AM96" s="464"/>
      <c r="AN96" s="464"/>
      <c r="AO96" s="464"/>
      <c r="AP96" s="464">
        <f t="shared" si="6"/>
        <v>7423</v>
      </c>
      <c r="AQ96" s="464"/>
      <c r="AR96" s="464"/>
      <c r="AS96" s="464"/>
      <c r="AT96" s="464"/>
      <c r="AU96" s="465"/>
      <c r="AV96" s="487" t="b">
        <f t="shared" si="3"/>
        <v>1</v>
      </c>
      <c r="AW96" s="488"/>
      <c r="AX96" s="488"/>
      <c r="AY96" s="55">
        <f t="shared" si="4"/>
        <v>6</v>
      </c>
      <c r="AZ96" s="59">
        <f t="array" ref="AZ96">IF(ROWS($AZ$91:AZ96)&gt;COUNT($AY$91:$AY$110),"",INDEX($AY$91:$AY$110,SMALL(IF($AY$91:$AY$110&lt;&gt;"",ROW($AY$91:$AY$110)-ROW($AY$91)+1),ROWS($AZ$91:AZ96))))</f>
        <v>6</v>
      </c>
    </row>
    <row r="97" spans="2:52" ht="14.45" customHeight="1" x14ac:dyDescent="0.25">
      <c r="B97" s="24">
        <f>IF(AZ97="","",7)</f>
        <v>7</v>
      </c>
      <c r="C97" s="238" t="str">
        <f t="shared" si="7"/>
        <v>Pay off ATB Debt</v>
      </c>
      <c r="D97" s="238"/>
      <c r="E97" s="238"/>
      <c r="F97" s="238"/>
      <c r="G97" s="238"/>
      <c r="H97" s="238"/>
      <c r="I97" s="238"/>
      <c r="J97" s="238"/>
      <c r="K97" s="238"/>
      <c r="L97" s="238"/>
      <c r="M97" s="238"/>
      <c r="N97" s="124"/>
      <c r="O97" s="125"/>
      <c r="P97" s="125"/>
      <c r="Q97" s="125"/>
      <c r="R97" s="125"/>
      <c r="S97" s="125"/>
      <c r="T97" s="125"/>
      <c r="U97" s="125"/>
      <c r="V97" s="125"/>
      <c r="W97" s="125"/>
      <c r="X97" s="125"/>
      <c r="Y97" s="125"/>
      <c r="Z97" s="125"/>
      <c r="AA97" s="125"/>
      <c r="AB97" s="125"/>
      <c r="AC97" s="125"/>
      <c r="AD97" s="125"/>
      <c r="AE97" s="125"/>
      <c r="AF97" s="125"/>
      <c r="AG97" s="125"/>
      <c r="AH97" s="125"/>
      <c r="AI97" s="126"/>
      <c r="AJ97" s="464">
        <f t="shared" si="5"/>
        <v>235</v>
      </c>
      <c r="AK97" s="464"/>
      <c r="AL97" s="464"/>
      <c r="AM97" s="464"/>
      <c r="AN97" s="464"/>
      <c r="AO97" s="464"/>
      <c r="AP97" s="464">
        <f t="shared" si="6"/>
        <v>4531</v>
      </c>
      <c r="AQ97" s="464"/>
      <c r="AR97" s="464"/>
      <c r="AS97" s="464"/>
      <c r="AT97" s="464"/>
      <c r="AU97" s="465"/>
      <c r="AV97" s="487" t="b">
        <f t="shared" si="3"/>
        <v>1</v>
      </c>
      <c r="AW97" s="488"/>
      <c r="AX97" s="488"/>
      <c r="AY97" s="55">
        <f t="shared" si="4"/>
        <v>7</v>
      </c>
      <c r="AZ97" s="59">
        <f t="array" ref="AZ97">IF(ROWS($AZ$91:AZ97)&gt;COUNT($AY$91:$AY$110),"",INDEX($AY$91:$AY$110,SMALL(IF($AY$91:$AY$110&lt;&gt;"",ROW($AY$91:$AY$110)-ROW($AY$91)+1),ROWS($AZ$91:AZ97))))</f>
        <v>7</v>
      </c>
    </row>
    <row r="98" spans="2:52" ht="14.45" customHeight="1" x14ac:dyDescent="0.25">
      <c r="B98" s="24">
        <f>IF(AZ98="","",8)</f>
        <v>8</v>
      </c>
      <c r="C98" s="238" t="str">
        <f t="shared" si="7"/>
        <v>Pay off CRA Debt</v>
      </c>
      <c r="D98" s="238"/>
      <c r="E98" s="238"/>
      <c r="F98" s="238"/>
      <c r="G98" s="238"/>
      <c r="H98" s="238"/>
      <c r="I98" s="238"/>
      <c r="J98" s="238"/>
      <c r="K98" s="238"/>
      <c r="L98" s="238"/>
      <c r="M98" s="238"/>
      <c r="N98" s="124"/>
      <c r="O98" s="125"/>
      <c r="P98" s="125"/>
      <c r="Q98" s="125"/>
      <c r="R98" s="125"/>
      <c r="S98" s="125"/>
      <c r="T98" s="125"/>
      <c r="U98" s="125"/>
      <c r="V98" s="125"/>
      <c r="W98" s="125"/>
      <c r="X98" s="125"/>
      <c r="Y98" s="125"/>
      <c r="Z98" s="125"/>
      <c r="AA98" s="125"/>
      <c r="AB98" s="125"/>
      <c r="AC98" s="125"/>
      <c r="AD98" s="125"/>
      <c r="AE98" s="125"/>
      <c r="AF98" s="125"/>
      <c r="AG98" s="125"/>
      <c r="AH98" s="125"/>
      <c r="AI98" s="126"/>
      <c r="AJ98" s="464">
        <f t="shared" si="5"/>
        <v>0</v>
      </c>
      <c r="AK98" s="464"/>
      <c r="AL98" s="464"/>
      <c r="AM98" s="464"/>
      <c r="AN98" s="464"/>
      <c r="AO98" s="464"/>
      <c r="AP98" s="464">
        <f t="shared" si="6"/>
        <v>3907.79</v>
      </c>
      <c r="AQ98" s="464"/>
      <c r="AR98" s="464"/>
      <c r="AS98" s="464"/>
      <c r="AT98" s="464"/>
      <c r="AU98" s="465"/>
      <c r="AV98" s="487" t="b">
        <f t="shared" si="3"/>
        <v>1</v>
      </c>
      <c r="AW98" s="488"/>
      <c r="AX98" s="488"/>
      <c r="AY98" s="55">
        <f t="shared" si="4"/>
        <v>8</v>
      </c>
      <c r="AZ98" s="59">
        <f t="array" ref="AZ98">IF(ROWS($AZ$91:AZ98)&gt;COUNT($AY$91:$AY$110),"",INDEX($AY$91:$AY$110,SMALL(IF($AY$91:$AY$110&lt;&gt;"",ROW($AY$91:$AY$110)-ROW($AY$91)+1),ROWS($AZ$91:AZ98))))</f>
        <v>8</v>
      </c>
    </row>
    <row r="99" spans="2:52" ht="14.45" customHeight="1" x14ac:dyDescent="0.25">
      <c r="B99" s="24" t="str">
        <f>IF(AZ99="","",9)</f>
        <v/>
      </c>
      <c r="C99" s="238" t="str">
        <f t="shared" si="7"/>
        <v/>
      </c>
      <c r="D99" s="238"/>
      <c r="E99" s="238"/>
      <c r="F99" s="238"/>
      <c r="G99" s="238"/>
      <c r="H99" s="238"/>
      <c r="I99" s="238"/>
      <c r="J99" s="238"/>
      <c r="K99" s="238"/>
      <c r="L99" s="238"/>
      <c r="M99" s="238"/>
      <c r="N99" s="124"/>
      <c r="O99" s="125"/>
      <c r="P99" s="125"/>
      <c r="Q99" s="125"/>
      <c r="R99" s="125"/>
      <c r="S99" s="125"/>
      <c r="T99" s="125"/>
      <c r="U99" s="125"/>
      <c r="V99" s="125"/>
      <c r="W99" s="125"/>
      <c r="X99" s="125"/>
      <c r="Y99" s="125"/>
      <c r="Z99" s="125"/>
      <c r="AA99" s="125"/>
      <c r="AB99" s="125"/>
      <c r="AC99" s="125"/>
      <c r="AD99" s="125"/>
      <c r="AE99" s="125"/>
      <c r="AF99" s="125"/>
      <c r="AG99" s="125"/>
      <c r="AH99" s="125"/>
      <c r="AI99" s="126"/>
      <c r="AJ99" s="464">
        <f t="shared" si="5"/>
        <v>0</v>
      </c>
      <c r="AK99" s="464"/>
      <c r="AL99" s="464"/>
      <c r="AM99" s="464"/>
      <c r="AN99" s="464"/>
      <c r="AO99" s="464"/>
      <c r="AP99" s="464">
        <f t="shared" si="6"/>
        <v>0</v>
      </c>
      <c r="AQ99" s="464"/>
      <c r="AR99" s="464"/>
      <c r="AS99" s="464"/>
      <c r="AT99" s="464"/>
      <c r="AU99" s="465"/>
      <c r="AV99" s="487" t="b">
        <f t="shared" si="3"/>
        <v>0</v>
      </c>
      <c r="AW99" s="488"/>
      <c r="AX99" s="488"/>
      <c r="AY99" s="55" t="str">
        <f t="shared" si="4"/>
        <v/>
      </c>
      <c r="AZ99" s="59" t="str">
        <f t="array" ref="AZ99">IF(ROWS($AZ$91:AZ99)&gt;COUNT($AY$91:$AY$110),"",INDEX($AY$91:$AY$110,SMALL(IF($AY$91:$AY$110&lt;&gt;"",ROW($AY$91:$AY$110)-ROW($AY$91)+1),ROWS($AZ$91:AZ99))))</f>
        <v/>
      </c>
    </row>
    <row r="100" spans="2:52" ht="14.45" customHeight="1" x14ac:dyDescent="0.25">
      <c r="B100" s="24" t="str">
        <f>IF(AZ100="","",10)</f>
        <v/>
      </c>
      <c r="C100" s="238" t="str">
        <f t="shared" si="7"/>
        <v/>
      </c>
      <c r="D100" s="238"/>
      <c r="E100" s="238"/>
      <c r="F100" s="238"/>
      <c r="G100" s="238"/>
      <c r="H100" s="238"/>
      <c r="I100" s="238"/>
      <c r="J100" s="238"/>
      <c r="K100" s="238"/>
      <c r="L100" s="238"/>
      <c r="M100" s="238"/>
      <c r="N100" s="124"/>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6"/>
      <c r="AJ100" s="464">
        <f t="shared" si="5"/>
        <v>0</v>
      </c>
      <c r="AK100" s="464"/>
      <c r="AL100" s="464"/>
      <c r="AM100" s="464"/>
      <c r="AN100" s="464"/>
      <c r="AO100" s="464"/>
      <c r="AP100" s="464">
        <f t="shared" si="6"/>
        <v>0</v>
      </c>
      <c r="AQ100" s="464"/>
      <c r="AR100" s="464"/>
      <c r="AS100" s="464"/>
      <c r="AT100" s="464"/>
      <c r="AU100" s="465"/>
      <c r="AV100" s="487" t="b">
        <f t="shared" si="3"/>
        <v>0</v>
      </c>
      <c r="AW100" s="488"/>
      <c r="AX100" s="488"/>
      <c r="AY100" s="55" t="str">
        <f t="shared" si="4"/>
        <v/>
      </c>
      <c r="AZ100" s="59" t="str">
        <f t="array" ref="AZ100">IF(ROWS($AZ$91:AZ100)&gt;COUNT($AY$91:$AY$110),"",INDEX($AY$91:$AY$110,SMALL(IF($AY$91:$AY$110&lt;&gt;"",ROW($AY$91:$AY$110)-ROW($AY$91)+1),ROWS($AZ$91:AZ100))))</f>
        <v/>
      </c>
    </row>
    <row r="101" spans="2:52" ht="14.45" customHeight="1" x14ac:dyDescent="0.25">
      <c r="B101" s="24" t="str">
        <f>IF(AZ101="","",11)</f>
        <v/>
      </c>
      <c r="C101" s="238" t="str">
        <f t="shared" si="7"/>
        <v/>
      </c>
      <c r="D101" s="238"/>
      <c r="E101" s="238"/>
      <c r="F101" s="238"/>
      <c r="G101" s="238"/>
      <c r="H101" s="238"/>
      <c r="I101" s="238"/>
      <c r="J101" s="238"/>
      <c r="K101" s="238"/>
      <c r="L101" s="238"/>
      <c r="M101" s="238"/>
      <c r="N101" s="124"/>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6"/>
      <c r="AJ101" s="464">
        <f t="shared" si="5"/>
        <v>0</v>
      </c>
      <c r="AK101" s="464"/>
      <c r="AL101" s="464"/>
      <c r="AM101" s="464"/>
      <c r="AN101" s="464"/>
      <c r="AO101" s="464"/>
      <c r="AP101" s="464">
        <f t="shared" si="6"/>
        <v>0</v>
      </c>
      <c r="AQ101" s="464"/>
      <c r="AR101" s="464"/>
      <c r="AS101" s="464"/>
      <c r="AT101" s="464"/>
      <c r="AU101" s="465"/>
      <c r="AV101" s="487" t="b">
        <f t="shared" si="3"/>
        <v>0</v>
      </c>
      <c r="AW101" s="488"/>
      <c r="AX101" s="488"/>
      <c r="AY101" s="55" t="str">
        <f t="shared" si="4"/>
        <v/>
      </c>
      <c r="AZ101" s="59" t="str">
        <f t="array" ref="AZ101">IF(ROWS($AZ$91:AZ101)&gt;COUNT($AY$91:$AY$110),"",INDEX($AY$91:$AY$110,SMALL(IF($AY$91:$AY$110&lt;&gt;"",ROW($AY$91:$AY$110)-ROW($AY$91)+1),ROWS($AZ$91:AZ101))))</f>
        <v/>
      </c>
    </row>
    <row r="102" spans="2:52" ht="14.45" customHeight="1" x14ac:dyDescent="0.25">
      <c r="B102" s="24" t="str">
        <f>IF(AZ102="","",12)</f>
        <v/>
      </c>
      <c r="C102" s="238" t="str">
        <f t="shared" si="7"/>
        <v/>
      </c>
      <c r="D102" s="238"/>
      <c r="E102" s="238"/>
      <c r="F102" s="238"/>
      <c r="G102" s="238"/>
      <c r="H102" s="238"/>
      <c r="I102" s="238"/>
      <c r="J102" s="238"/>
      <c r="K102" s="238"/>
      <c r="L102" s="238"/>
      <c r="M102" s="238"/>
      <c r="N102" s="124"/>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6"/>
      <c r="AJ102" s="464">
        <f t="shared" si="5"/>
        <v>0</v>
      </c>
      <c r="AK102" s="464"/>
      <c r="AL102" s="464"/>
      <c r="AM102" s="464"/>
      <c r="AN102" s="464"/>
      <c r="AO102" s="464"/>
      <c r="AP102" s="464">
        <f t="shared" si="6"/>
        <v>0</v>
      </c>
      <c r="AQ102" s="464"/>
      <c r="AR102" s="464"/>
      <c r="AS102" s="464"/>
      <c r="AT102" s="464"/>
      <c r="AU102" s="465"/>
      <c r="AV102" s="487" t="b">
        <f t="shared" si="3"/>
        <v>0</v>
      </c>
      <c r="AW102" s="488"/>
      <c r="AX102" s="488"/>
      <c r="AY102" s="55" t="str">
        <f t="shared" si="4"/>
        <v/>
      </c>
      <c r="AZ102" s="59" t="str">
        <f t="array" ref="AZ102">IF(ROWS($AZ$91:AZ102)&gt;COUNT($AY$91:$AY$110),"",INDEX($AY$91:$AY$110,SMALL(IF($AY$91:$AY$110&lt;&gt;"",ROW($AY$91:$AY$110)-ROW($AY$91)+1),ROWS($AZ$91:AZ102))))</f>
        <v/>
      </c>
    </row>
    <row r="103" spans="2:52" ht="14.45" customHeight="1" x14ac:dyDescent="0.25">
      <c r="B103" s="24" t="str">
        <f>IF(AZ103="","",13)</f>
        <v/>
      </c>
      <c r="C103" s="238" t="str">
        <f t="shared" si="7"/>
        <v/>
      </c>
      <c r="D103" s="238"/>
      <c r="E103" s="238"/>
      <c r="F103" s="238"/>
      <c r="G103" s="238"/>
      <c r="H103" s="238"/>
      <c r="I103" s="238"/>
      <c r="J103" s="238"/>
      <c r="K103" s="238"/>
      <c r="L103" s="238"/>
      <c r="M103" s="238"/>
      <c r="N103" s="124"/>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6"/>
      <c r="AJ103" s="464">
        <f t="shared" si="5"/>
        <v>0</v>
      </c>
      <c r="AK103" s="464"/>
      <c r="AL103" s="464"/>
      <c r="AM103" s="464"/>
      <c r="AN103" s="464"/>
      <c r="AO103" s="464"/>
      <c r="AP103" s="464">
        <f t="shared" si="6"/>
        <v>0</v>
      </c>
      <c r="AQ103" s="464"/>
      <c r="AR103" s="464"/>
      <c r="AS103" s="464"/>
      <c r="AT103" s="464"/>
      <c r="AU103" s="465"/>
      <c r="AV103" s="487" t="b">
        <f t="shared" si="3"/>
        <v>0</v>
      </c>
      <c r="AW103" s="488"/>
      <c r="AX103" s="488"/>
      <c r="AY103" s="55" t="str">
        <f t="shared" si="4"/>
        <v/>
      </c>
      <c r="AZ103" s="59" t="str">
        <f t="array" ref="AZ103">IF(ROWS($AZ$91:AZ103)&gt;COUNT($AY$91:$AY$110),"",INDEX($AY$91:$AY$110,SMALL(IF($AY$91:$AY$110&lt;&gt;"",ROW($AY$91:$AY$110)-ROW($AY$91)+1),ROWS($AZ$91:AZ103))))</f>
        <v/>
      </c>
    </row>
    <row r="104" spans="2:52" ht="14.45" customHeight="1" x14ac:dyDescent="0.25">
      <c r="B104" s="24" t="str">
        <f>IF(AZ104="","",14)</f>
        <v/>
      </c>
      <c r="C104" s="238" t="str">
        <f t="shared" si="7"/>
        <v/>
      </c>
      <c r="D104" s="238"/>
      <c r="E104" s="238"/>
      <c r="F104" s="238"/>
      <c r="G104" s="238"/>
      <c r="H104" s="238"/>
      <c r="I104" s="238"/>
      <c r="J104" s="238"/>
      <c r="K104" s="238"/>
      <c r="L104" s="238"/>
      <c r="M104" s="238"/>
      <c r="N104" s="124"/>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6"/>
      <c r="AJ104" s="464">
        <f t="shared" si="5"/>
        <v>0</v>
      </c>
      <c r="AK104" s="464"/>
      <c r="AL104" s="464"/>
      <c r="AM104" s="464"/>
      <c r="AN104" s="464"/>
      <c r="AO104" s="464"/>
      <c r="AP104" s="464">
        <f t="shared" si="6"/>
        <v>0</v>
      </c>
      <c r="AQ104" s="464"/>
      <c r="AR104" s="464"/>
      <c r="AS104" s="464"/>
      <c r="AT104" s="464"/>
      <c r="AU104" s="465"/>
      <c r="AV104" s="487" t="b">
        <f t="shared" si="3"/>
        <v>0</v>
      </c>
      <c r="AW104" s="488"/>
      <c r="AX104" s="488"/>
      <c r="AY104" s="55" t="str">
        <f t="shared" si="4"/>
        <v/>
      </c>
      <c r="AZ104" s="59" t="str">
        <f t="array" ref="AZ104">IF(ROWS($AZ$91:AZ104)&gt;COUNT($AY$91:$AY$110),"",INDEX($AY$91:$AY$110,SMALL(IF($AY$91:$AY$110&lt;&gt;"",ROW($AY$91:$AY$110)-ROW($AY$91)+1),ROWS($AZ$91:AZ104))))</f>
        <v/>
      </c>
    </row>
    <row r="105" spans="2:52" ht="14.45" customHeight="1" x14ac:dyDescent="0.25">
      <c r="B105" s="24" t="str">
        <f>IF(AZ105="","",15)</f>
        <v/>
      </c>
      <c r="C105" s="238" t="str">
        <f t="shared" si="7"/>
        <v/>
      </c>
      <c r="D105" s="238"/>
      <c r="E105" s="238"/>
      <c r="F105" s="238"/>
      <c r="G105" s="238"/>
      <c r="H105" s="238"/>
      <c r="I105" s="238"/>
      <c r="J105" s="238"/>
      <c r="K105" s="238"/>
      <c r="L105" s="238"/>
      <c r="M105" s="238"/>
      <c r="N105" s="124"/>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6"/>
      <c r="AJ105" s="464">
        <f t="shared" si="5"/>
        <v>0</v>
      </c>
      <c r="AK105" s="464"/>
      <c r="AL105" s="464"/>
      <c r="AM105" s="464"/>
      <c r="AN105" s="464"/>
      <c r="AO105" s="464"/>
      <c r="AP105" s="464">
        <f t="shared" si="6"/>
        <v>0</v>
      </c>
      <c r="AQ105" s="464"/>
      <c r="AR105" s="464"/>
      <c r="AS105" s="464"/>
      <c r="AT105" s="464"/>
      <c r="AU105" s="465"/>
      <c r="AV105" s="487" t="b">
        <f t="shared" si="3"/>
        <v>0</v>
      </c>
      <c r="AW105" s="488"/>
      <c r="AX105" s="488"/>
      <c r="AY105" s="55" t="str">
        <f t="shared" si="4"/>
        <v/>
      </c>
      <c r="AZ105" s="59" t="str">
        <f t="array" ref="AZ105">IF(ROWS($AZ$91:AZ105)&gt;COUNT($AY$91:$AY$110),"",INDEX($AY$91:$AY$110,SMALL(IF($AY$91:$AY$110&lt;&gt;"",ROW($AY$91:$AY$110)-ROW($AY$91)+1),ROWS($AZ$91:AZ105))))</f>
        <v/>
      </c>
    </row>
    <row r="106" spans="2:52" ht="14.45" customHeight="1" x14ac:dyDescent="0.25">
      <c r="B106" s="24" t="str">
        <f>IF(AZ106="","",16)</f>
        <v/>
      </c>
      <c r="C106" s="238" t="str">
        <f t="shared" si="7"/>
        <v/>
      </c>
      <c r="D106" s="238"/>
      <c r="E106" s="238"/>
      <c r="F106" s="238"/>
      <c r="G106" s="238"/>
      <c r="H106" s="238"/>
      <c r="I106" s="238"/>
      <c r="J106" s="238"/>
      <c r="K106" s="238"/>
      <c r="L106" s="238"/>
      <c r="M106" s="238"/>
      <c r="N106" s="124"/>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6"/>
      <c r="AJ106" s="464">
        <f t="shared" si="5"/>
        <v>0</v>
      </c>
      <c r="AK106" s="464"/>
      <c r="AL106" s="464"/>
      <c r="AM106" s="464"/>
      <c r="AN106" s="464"/>
      <c r="AO106" s="464"/>
      <c r="AP106" s="464">
        <f t="shared" si="6"/>
        <v>0</v>
      </c>
      <c r="AQ106" s="464"/>
      <c r="AR106" s="464"/>
      <c r="AS106" s="464"/>
      <c r="AT106" s="464"/>
      <c r="AU106" s="465"/>
      <c r="AV106" s="487" t="b">
        <f t="shared" si="3"/>
        <v>0</v>
      </c>
      <c r="AW106" s="488"/>
      <c r="AX106" s="488"/>
      <c r="AY106" s="55" t="str">
        <f t="shared" si="4"/>
        <v/>
      </c>
      <c r="AZ106" s="59" t="str">
        <f t="array" ref="AZ106">IF(ROWS($AZ$91:AZ106)&gt;COUNT($AY$91:$AY$110),"",INDEX($AY$91:$AY$110,SMALL(IF($AY$91:$AY$110&lt;&gt;"",ROW($AY$91:$AY$110)-ROW($AY$91)+1),ROWS($AZ$91:AZ106))))</f>
        <v/>
      </c>
    </row>
    <row r="107" spans="2:52" ht="14.45" customHeight="1" x14ac:dyDescent="0.25">
      <c r="B107" s="24" t="str">
        <f>IF(AZ107="","",17)</f>
        <v/>
      </c>
      <c r="C107" s="238" t="str">
        <f t="shared" si="7"/>
        <v/>
      </c>
      <c r="D107" s="238"/>
      <c r="E107" s="238"/>
      <c r="F107" s="238"/>
      <c r="G107" s="238"/>
      <c r="H107" s="238"/>
      <c r="I107" s="238"/>
      <c r="J107" s="238"/>
      <c r="K107" s="238"/>
      <c r="L107" s="238"/>
      <c r="M107" s="238"/>
      <c r="N107" s="124"/>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6"/>
      <c r="AJ107" s="464">
        <f t="shared" si="5"/>
        <v>0</v>
      </c>
      <c r="AK107" s="464"/>
      <c r="AL107" s="464"/>
      <c r="AM107" s="464"/>
      <c r="AN107" s="464"/>
      <c r="AO107" s="464"/>
      <c r="AP107" s="464">
        <f t="shared" si="6"/>
        <v>0</v>
      </c>
      <c r="AQ107" s="464"/>
      <c r="AR107" s="464"/>
      <c r="AS107" s="464"/>
      <c r="AT107" s="464"/>
      <c r="AU107" s="465"/>
      <c r="AV107" s="487" t="b">
        <f t="shared" si="3"/>
        <v>0</v>
      </c>
      <c r="AW107" s="488"/>
      <c r="AX107" s="488"/>
      <c r="AY107" s="55" t="str">
        <f t="shared" si="4"/>
        <v/>
      </c>
      <c r="AZ107" s="59" t="str">
        <f t="array" ref="AZ107">IF(ROWS($AZ$91:AZ107)&gt;COUNT($AY$91:$AY$110),"",INDEX($AY$91:$AY$110,SMALL(IF($AY$91:$AY$110&lt;&gt;"",ROW($AY$91:$AY$110)-ROW($AY$91)+1),ROWS($AZ$91:AZ107))))</f>
        <v/>
      </c>
    </row>
    <row r="108" spans="2:52" ht="14.45" customHeight="1" x14ac:dyDescent="0.25">
      <c r="B108" s="24" t="str">
        <f>IF(AZ108="","",18)</f>
        <v/>
      </c>
      <c r="C108" s="238" t="str">
        <f t="shared" si="7"/>
        <v/>
      </c>
      <c r="D108" s="238"/>
      <c r="E108" s="238"/>
      <c r="F108" s="238"/>
      <c r="G108" s="238"/>
      <c r="H108" s="238"/>
      <c r="I108" s="238"/>
      <c r="J108" s="238"/>
      <c r="K108" s="238"/>
      <c r="L108" s="238"/>
      <c r="M108" s="238"/>
      <c r="N108" s="124"/>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6"/>
      <c r="AJ108" s="464">
        <f t="shared" si="5"/>
        <v>0</v>
      </c>
      <c r="AK108" s="464"/>
      <c r="AL108" s="464"/>
      <c r="AM108" s="464"/>
      <c r="AN108" s="464"/>
      <c r="AO108" s="464"/>
      <c r="AP108" s="464">
        <f t="shared" si="6"/>
        <v>0</v>
      </c>
      <c r="AQ108" s="464"/>
      <c r="AR108" s="464"/>
      <c r="AS108" s="464"/>
      <c r="AT108" s="464"/>
      <c r="AU108" s="465"/>
      <c r="AV108" s="487" t="b">
        <f t="shared" si="3"/>
        <v>0</v>
      </c>
      <c r="AW108" s="488"/>
      <c r="AX108" s="488"/>
      <c r="AY108" s="55" t="str">
        <f t="shared" si="4"/>
        <v/>
      </c>
      <c r="AZ108" s="59" t="str">
        <f t="array" ref="AZ108">IF(ROWS($AZ$91:AZ108)&gt;COUNT($AY$91:$AY$110),"",INDEX($AY$91:$AY$110,SMALL(IF($AY$91:$AY$110&lt;&gt;"",ROW($AY$91:$AY$110)-ROW($AY$91)+1),ROWS($AZ$91:AZ108))))</f>
        <v/>
      </c>
    </row>
    <row r="109" spans="2:52" ht="14.45" customHeight="1" x14ac:dyDescent="0.25">
      <c r="B109" s="24" t="str">
        <f>IF(AZ109="","",19)</f>
        <v/>
      </c>
      <c r="C109" s="238" t="str">
        <f t="shared" si="7"/>
        <v/>
      </c>
      <c r="D109" s="238"/>
      <c r="E109" s="238"/>
      <c r="F109" s="238"/>
      <c r="G109" s="238"/>
      <c r="H109" s="238"/>
      <c r="I109" s="238"/>
      <c r="J109" s="238"/>
      <c r="K109" s="238"/>
      <c r="L109" s="238"/>
      <c r="M109" s="238"/>
      <c r="N109" s="124"/>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6"/>
      <c r="AJ109" s="464">
        <f t="shared" si="5"/>
        <v>0</v>
      </c>
      <c r="AK109" s="464"/>
      <c r="AL109" s="464"/>
      <c r="AM109" s="464"/>
      <c r="AN109" s="464"/>
      <c r="AO109" s="464"/>
      <c r="AP109" s="464">
        <f t="shared" si="6"/>
        <v>0</v>
      </c>
      <c r="AQ109" s="464"/>
      <c r="AR109" s="464"/>
      <c r="AS109" s="464"/>
      <c r="AT109" s="464"/>
      <c r="AU109" s="465"/>
      <c r="AV109" s="487" t="b">
        <f t="shared" si="3"/>
        <v>0</v>
      </c>
      <c r="AW109" s="488"/>
      <c r="AX109" s="488"/>
      <c r="AY109" s="55" t="str">
        <f t="shared" si="4"/>
        <v/>
      </c>
      <c r="AZ109" s="59" t="str">
        <f t="array" ref="AZ109">IF(ROWS($AZ$91:AZ109)&gt;COUNT($AY$91:$AY$110),"",INDEX($AY$91:$AY$110,SMALL(IF($AY$91:$AY$110&lt;&gt;"",ROW($AY$91:$AY$110)-ROW($AY$91)+1),ROWS($AZ$91:AZ109))))</f>
        <v/>
      </c>
    </row>
    <row r="110" spans="2:52" ht="14.45" customHeight="1" x14ac:dyDescent="0.25">
      <c r="B110" s="24" t="str">
        <f>IF(AZ110="","",20)</f>
        <v/>
      </c>
      <c r="C110" s="238" t="str">
        <f t="shared" si="7"/>
        <v/>
      </c>
      <c r="D110" s="238"/>
      <c r="E110" s="238"/>
      <c r="F110" s="238"/>
      <c r="G110" s="238"/>
      <c r="H110" s="238"/>
      <c r="I110" s="238"/>
      <c r="J110" s="238"/>
      <c r="K110" s="238"/>
      <c r="L110" s="238"/>
      <c r="M110" s="238"/>
      <c r="N110" s="127"/>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9"/>
      <c r="AJ110" s="485">
        <f t="shared" si="5"/>
        <v>0</v>
      </c>
      <c r="AK110" s="485"/>
      <c r="AL110" s="485"/>
      <c r="AM110" s="485"/>
      <c r="AN110" s="485"/>
      <c r="AO110" s="485"/>
      <c r="AP110" s="485">
        <f t="shared" si="6"/>
        <v>0</v>
      </c>
      <c r="AQ110" s="485"/>
      <c r="AR110" s="485"/>
      <c r="AS110" s="485"/>
      <c r="AT110" s="485"/>
      <c r="AU110" s="486"/>
      <c r="AV110" s="489" t="b">
        <f t="shared" si="3"/>
        <v>0</v>
      </c>
      <c r="AW110" s="490"/>
      <c r="AX110" s="490"/>
      <c r="AY110" s="60" t="str">
        <f t="shared" si="4"/>
        <v/>
      </c>
      <c r="AZ110" s="61" t="str">
        <f t="array" ref="AZ110">IF(ROWS($AZ$91:AZ110)&gt;COUNT($AY$91:$AY$110),"",INDEX($AY$91:$AY$110,SMALL(IF($AY$91:$AY$110&lt;&gt;"",ROW($AY$91:$AY$110)-ROW($AY$91)+1),ROWS($AZ$91:AZ110))))</f>
        <v/>
      </c>
    </row>
    <row r="111" spans="2:52" s="9" customFormat="1" ht="18" customHeight="1" thickBot="1" x14ac:dyDescent="0.3">
      <c r="B111" s="165" t="s">
        <v>240</v>
      </c>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7"/>
      <c r="AJ111" s="492">
        <f>SUM(AJ91:AO110)</f>
        <v>1148</v>
      </c>
      <c r="AK111" s="492"/>
      <c r="AL111" s="492"/>
      <c r="AM111" s="492"/>
      <c r="AN111" s="492"/>
      <c r="AO111" s="492"/>
      <c r="AP111" s="492">
        <f>SUM(AP91:AU110)</f>
        <v>44284.79</v>
      </c>
      <c r="AQ111" s="492"/>
      <c r="AR111" s="492"/>
      <c r="AS111" s="492"/>
      <c r="AT111" s="492"/>
      <c r="AU111" s="493"/>
    </row>
    <row r="112" spans="2:52" ht="14.45" customHeight="1" x14ac:dyDescent="0.25">
      <c r="B112" s="159" t="str">
        <f>"With the monthly financing payment to Calvert of "&amp;TEXT(V76,"$###,###.00")&amp;" and the above implemented recommendations, the NET REDUCTION in MONTHLY PAYMENT OBBLIGATIONS is "&amp;TEXT(V79,"$###,###.00")&amp;"."</f>
        <v>With the monthly financing payment to Calvert of $466.83 and the above implemented recommendations, the NET REDUCTION in MONTHLY PAYMENT OBBLIGATIONS is $681.17.</v>
      </c>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1"/>
    </row>
    <row r="113" spans="2:47" ht="14.45" customHeight="1" thickBot="1" x14ac:dyDescent="0.3">
      <c r="B113" s="162"/>
      <c r="C113" s="163"/>
      <c r="D113" s="163"/>
      <c r="E113" s="163"/>
      <c r="F113" s="16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4"/>
    </row>
    <row r="114" spans="2:47" ht="14.45" customHeight="1" thickBot="1" x14ac:dyDescent="0.3"/>
    <row r="115" spans="2:47" ht="14.45" customHeight="1" x14ac:dyDescent="0.25">
      <c r="B115" s="242" t="s">
        <v>187</v>
      </c>
      <c r="C115" s="150"/>
      <c r="D115" s="143" t="s">
        <v>133</v>
      </c>
      <c r="E115" s="178"/>
      <c r="F115" s="178"/>
      <c r="G115" s="178"/>
      <c r="H115" s="178"/>
      <c r="I115" s="178"/>
      <c r="J115" s="178"/>
      <c r="K115" s="178"/>
      <c r="L115" s="178"/>
      <c r="M115" s="178"/>
      <c r="N115" s="178"/>
      <c r="O115" s="178"/>
      <c r="P115" s="178"/>
      <c r="Q115" s="178"/>
      <c r="R115" s="545"/>
      <c r="S115" s="11"/>
      <c r="T115" s="11"/>
      <c r="U115" s="11"/>
    </row>
    <row r="116" spans="2:47" ht="14.45" customHeight="1" thickBot="1" x14ac:dyDescent="0.3">
      <c r="B116" s="259"/>
      <c r="C116" s="153"/>
      <c r="D116" s="546"/>
      <c r="E116" s="547"/>
      <c r="F116" s="547"/>
      <c r="G116" s="547"/>
      <c r="H116" s="547"/>
      <c r="I116" s="547"/>
      <c r="J116" s="547"/>
      <c r="K116" s="547"/>
      <c r="L116" s="547"/>
      <c r="M116" s="547"/>
      <c r="N116" s="547"/>
      <c r="O116" s="547"/>
      <c r="P116" s="547"/>
      <c r="Q116" s="547"/>
      <c r="R116" s="548"/>
    </row>
    <row r="117" spans="2:47" s="9" customFormat="1" ht="15" customHeight="1" x14ac:dyDescent="0.25">
      <c r="B117" s="260" t="s">
        <v>267</v>
      </c>
      <c r="C117" s="261"/>
      <c r="D117" s="261"/>
      <c r="E117" s="261"/>
      <c r="F117" s="261"/>
      <c r="G117" s="261"/>
      <c r="H117" s="261"/>
      <c r="I117" s="261"/>
      <c r="J117" s="262"/>
      <c r="K117" s="263">
        <f>$AS$42+V71</f>
        <v>252500</v>
      </c>
      <c r="L117" s="264"/>
      <c r="M117" s="264"/>
      <c r="N117" s="264"/>
      <c r="O117" s="264"/>
      <c r="P117" s="264"/>
      <c r="Q117" s="264"/>
      <c r="R117" s="265"/>
    </row>
    <row r="118" spans="2:47" s="9" customFormat="1" ht="15" customHeight="1" x14ac:dyDescent="0.25">
      <c r="B118" s="231" t="s">
        <v>268</v>
      </c>
      <c r="C118" s="232"/>
      <c r="D118" s="232"/>
      <c r="E118" s="232"/>
      <c r="F118" s="232"/>
      <c r="G118" s="232"/>
      <c r="H118" s="232"/>
      <c r="I118" s="232"/>
      <c r="J118" s="233"/>
      <c r="K118" s="266">
        <f>$V$80</f>
        <v>4.2457821782178218E-2</v>
      </c>
      <c r="L118" s="267"/>
      <c r="M118" s="267"/>
      <c r="N118" s="267"/>
      <c r="O118" s="267"/>
      <c r="P118" s="267"/>
      <c r="Q118" s="267"/>
      <c r="R118" s="268"/>
    </row>
    <row r="119" spans="2:47" s="9" customFormat="1" ht="20.25" customHeight="1" x14ac:dyDescent="0.25">
      <c r="B119" s="231" t="s">
        <v>184</v>
      </c>
      <c r="C119" s="232"/>
      <c r="D119" s="232"/>
      <c r="E119" s="232"/>
      <c r="F119" s="232"/>
      <c r="G119" s="232"/>
      <c r="H119" s="232"/>
      <c r="I119" s="232"/>
      <c r="J119" s="233"/>
      <c r="K119" s="234">
        <f>$V$78</f>
        <v>1666.8266472308808</v>
      </c>
      <c r="L119" s="199"/>
      <c r="M119" s="199"/>
      <c r="N119" s="199"/>
      <c r="O119" s="199"/>
      <c r="P119" s="199"/>
      <c r="Q119" s="199"/>
      <c r="R119" s="200"/>
    </row>
    <row r="120" spans="2:47" s="9" customFormat="1" ht="20.25" customHeight="1" x14ac:dyDescent="0.25">
      <c r="B120" s="183" t="s">
        <v>194</v>
      </c>
      <c r="C120" s="184"/>
      <c r="D120" s="184"/>
      <c r="E120" s="184"/>
      <c r="F120" s="184"/>
      <c r="G120" s="184"/>
      <c r="H120" s="184"/>
      <c r="I120" s="184"/>
      <c r="J120" s="185"/>
      <c r="K120" s="186">
        <f>K117/I37</f>
        <v>0.73188405797101452</v>
      </c>
      <c r="L120" s="187"/>
      <c r="M120" s="187"/>
      <c r="N120" s="187"/>
      <c r="O120" s="187"/>
      <c r="P120" s="187"/>
      <c r="Q120" s="187"/>
      <c r="R120" s="188"/>
    </row>
    <row r="121" spans="2:47" s="9" customFormat="1" ht="20.25" customHeight="1" x14ac:dyDescent="0.25">
      <c r="B121" s="189" t="s">
        <v>269</v>
      </c>
      <c r="C121" s="190"/>
      <c r="D121" s="190"/>
      <c r="E121" s="190"/>
      <c r="F121" s="190"/>
      <c r="G121" s="190"/>
      <c r="H121" s="190"/>
      <c r="I121" s="190"/>
      <c r="J121" s="191"/>
      <c r="K121" s="192">
        <f>Q121</f>
        <v>0</v>
      </c>
      <c r="L121" s="193"/>
      <c r="M121" s="193"/>
      <c r="N121" s="193"/>
      <c r="O121" s="193"/>
      <c r="P121" s="193"/>
      <c r="Q121" s="193"/>
      <c r="R121" s="194"/>
    </row>
    <row r="122" spans="2:47" s="9" customFormat="1" ht="20.25" customHeight="1" x14ac:dyDescent="0.25">
      <c r="B122" s="195" t="s">
        <v>270</v>
      </c>
      <c r="C122" s="196"/>
      <c r="D122" s="196"/>
      <c r="E122" s="196"/>
      <c r="F122" s="196"/>
      <c r="G122" s="196"/>
      <c r="H122" s="196"/>
      <c r="I122" s="196"/>
      <c r="J122" s="197"/>
      <c r="K122" s="198">
        <f>$AS$47-$AJ$111</f>
        <v>0</v>
      </c>
      <c r="L122" s="199"/>
      <c r="M122" s="199"/>
      <c r="N122" s="199"/>
      <c r="O122" s="199"/>
      <c r="P122" s="199"/>
      <c r="Q122" s="199"/>
      <c r="R122" s="200"/>
    </row>
    <row r="123" spans="2:47" s="9" customFormat="1" ht="18" customHeight="1" x14ac:dyDescent="0.25">
      <c r="B123" s="201" t="s">
        <v>197</v>
      </c>
      <c r="C123" s="202"/>
      <c r="D123" s="202"/>
      <c r="E123" s="202"/>
      <c r="F123" s="202"/>
      <c r="G123" s="202"/>
      <c r="H123" s="202"/>
      <c r="I123" s="202"/>
      <c r="J123" s="203"/>
      <c r="K123" s="204" t="str">
        <f>$AS$48</f>
        <v>-</v>
      </c>
      <c r="L123" s="187"/>
      <c r="M123" s="187"/>
      <c r="N123" s="187"/>
      <c r="O123" s="187"/>
      <c r="P123" s="187"/>
      <c r="Q123" s="187"/>
      <c r="R123" s="188"/>
    </row>
    <row r="124" spans="2:47" s="9" customFormat="1" ht="16.5" customHeight="1" x14ac:dyDescent="0.25">
      <c r="B124" s="536" t="s">
        <v>246</v>
      </c>
      <c r="C124" s="537"/>
      <c r="D124" s="537"/>
      <c r="E124" s="537"/>
      <c r="F124" s="537"/>
      <c r="G124" s="537"/>
      <c r="H124" s="537"/>
      <c r="I124" s="537"/>
      <c r="J124" s="538"/>
      <c r="K124" s="539">
        <f>$K$117+$K$121</f>
        <v>252500</v>
      </c>
      <c r="L124" s="193"/>
      <c r="M124" s="193"/>
      <c r="N124" s="193"/>
      <c r="O124" s="193"/>
      <c r="P124" s="193"/>
      <c r="Q124" s="193"/>
      <c r="R124" s="194"/>
    </row>
    <row r="125" spans="2:47" s="9" customFormat="1" ht="15" customHeight="1" thickBot="1" x14ac:dyDescent="0.3">
      <c r="B125" s="540" t="s">
        <v>247</v>
      </c>
      <c r="C125" s="541"/>
      <c r="D125" s="541"/>
      <c r="E125" s="541"/>
      <c r="F125" s="541"/>
      <c r="G125" s="541"/>
      <c r="H125" s="541"/>
      <c r="I125" s="541"/>
      <c r="J125" s="542"/>
      <c r="K125" s="562">
        <f>K119+K122</f>
        <v>1666.8266472308808</v>
      </c>
      <c r="L125" s="563"/>
      <c r="M125" s="563"/>
      <c r="N125" s="563"/>
      <c r="O125" s="563"/>
      <c r="P125" s="563"/>
      <c r="Q125" s="563"/>
      <c r="R125" s="564"/>
    </row>
    <row r="126" spans="2:47" ht="18" customHeight="1" x14ac:dyDescent="0.25">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row>
    <row r="127" spans="2:47" ht="18" customHeight="1" thickBot="1" x14ac:dyDescent="0.3"/>
    <row r="128" spans="2:47" ht="14.45" customHeight="1" x14ac:dyDescent="0.25">
      <c r="B128" s="139" t="s">
        <v>168</v>
      </c>
      <c r="C128" s="140"/>
      <c r="D128" s="101" t="s">
        <v>242</v>
      </c>
      <c r="E128" s="102"/>
      <c r="F128" s="102"/>
      <c r="G128" s="102"/>
      <c r="H128" s="102"/>
      <c r="I128" s="102"/>
      <c r="J128" s="102"/>
      <c r="K128" s="102"/>
      <c r="L128" s="102"/>
      <c r="M128" s="102"/>
      <c r="N128" s="102"/>
      <c r="O128" s="102"/>
      <c r="P128" s="102"/>
      <c r="Q128" s="102"/>
      <c r="R128" s="102"/>
      <c r="S128" s="102"/>
      <c r="T128" s="102"/>
      <c r="U128" s="102"/>
      <c r="V128" s="102"/>
      <c r="W128" s="107"/>
      <c r="X128" s="17"/>
      <c r="Y128" s="17"/>
      <c r="Z128" s="105" t="s">
        <v>169</v>
      </c>
      <c r="AA128" s="130"/>
      <c r="AB128" s="287" t="s">
        <v>152</v>
      </c>
      <c r="AC128" s="288"/>
      <c r="AD128" s="288"/>
      <c r="AE128" s="288"/>
      <c r="AF128" s="288"/>
      <c r="AG128" s="288"/>
      <c r="AH128" s="288"/>
      <c r="AI128" s="288"/>
      <c r="AJ128" s="288"/>
      <c r="AK128" s="288"/>
      <c r="AL128" s="288"/>
      <c r="AM128" s="288"/>
      <c r="AN128" s="288"/>
      <c r="AO128" s="288"/>
      <c r="AP128" s="288"/>
      <c r="AQ128" s="288"/>
      <c r="AR128" s="288"/>
      <c r="AS128" s="288"/>
      <c r="AT128" s="288"/>
      <c r="AU128" s="555"/>
    </row>
    <row r="129" spans="2:47" ht="15" customHeight="1" thickBot="1" x14ac:dyDescent="0.3">
      <c r="B129" s="553"/>
      <c r="C129" s="554"/>
      <c r="D129" s="109"/>
      <c r="E129" s="110"/>
      <c r="F129" s="110"/>
      <c r="G129" s="110"/>
      <c r="H129" s="110"/>
      <c r="I129" s="110"/>
      <c r="J129" s="110"/>
      <c r="K129" s="110"/>
      <c r="L129" s="110"/>
      <c r="M129" s="110"/>
      <c r="N129" s="110"/>
      <c r="O129" s="110"/>
      <c r="P129" s="110"/>
      <c r="Q129" s="110"/>
      <c r="R129" s="110"/>
      <c r="S129" s="110"/>
      <c r="T129" s="110"/>
      <c r="U129" s="110"/>
      <c r="V129" s="110"/>
      <c r="W129" s="111"/>
      <c r="X129" s="17"/>
      <c r="Y129" s="17"/>
      <c r="Z129" s="106"/>
      <c r="AA129" s="131"/>
      <c r="AB129" s="290"/>
      <c r="AC129" s="291"/>
      <c r="AD129" s="291"/>
      <c r="AE129" s="291"/>
      <c r="AF129" s="291"/>
      <c r="AG129" s="291"/>
      <c r="AH129" s="291"/>
      <c r="AI129" s="291"/>
      <c r="AJ129" s="291"/>
      <c r="AK129" s="291"/>
      <c r="AL129" s="291"/>
      <c r="AM129" s="291"/>
      <c r="AN129" s="291"/>
      <c r="AO129" s="291"/>
      <c r="AP129" s="291"/>
      <c r="AQ129" s="291"/>
      <c r="AR129" s="291"/>
      <c r="AS129" s="291"/>
      <c r="AT129" s="291"/>
      <c r="AU129" s="556"/>
    </row>
    <row r="130" spans="2:47" ht="14.45" customHeight="1" x14ac:dyDescent="0.25">
      <c r="B130" s="557" t="s">
        <v>149</v>
      </c>
      <c r="C130" s="558"/>
      <c r="D130" s="558"/>
      <c r="E130" s="558"/>
      <c r="F130" s="558"/>
      <c r="G130" s="558"/>
      <c r="H130" s="558"/>
      <c r="I130" s="558"/>
      <c r="J130" s="558"/>
      <c r="K130" s="558"/>
      <c r="L130" s="558"/>
      <c r="M130" s="558"/>
      <c r="N130" s="558"/>
      <c r="O130" s="558"/>
      <c r="P130" s="558"/>
      <c r="Q130" s="558"/>
      <c r="R130" s="558"/>
      <c r="S130" s="558"/>
      <c r="T130" s="558"/>
      <c r="U130" s="558"/>
      <c r="V130" s="558"/>
      <c r="W130" s="559"/>
      <c r="Z130" s="29"/>
      <c r="AU130" s="43"/>
    </row>
    <row r="131" spans="2:47" ht="14.45" customHeight="1" x14ac:dyDescent="0.25">
      <c r="B131" s="560"/>
      <c r="C131" s="180"/>
      <c r="D131" s="180"/>
      <c r="E131" s="180"/>
      <c r="F131" s="180"/>
      <c r="G131" s="180"/>
      <c r="H131" s="180"/>
      <c r="I131" s="180"/>
      <c r="J131" s="180"/>
      <c r="K131" s="180"/>
      <c r="L131" s="180"/>
      <c r="M131" s="180"/>
      <c r="N131" s="180"/>
      <c r="O131" s="180"/>
      <c r="P131" s="180"/>
      <c r="Q131" s="180"/>
      <c r="R131" s="180"/>
      <c r="S131" s="180"/>
      <c r="T131" s="180"/>
      <c r="U131" s="180"/>
      <c r="V131" s="180"/>
      <c r="W131" s="561"/>
      <c r="Z131" s="29"/>
      <c r="AA131" s="137" t="s">
        <v>324</v>
      </c>
      <c r="AB131" s="137"/>
      <c r="AC131" s="137"/>
      <c r="AD131" s="137"/>
      <c r="AE131" s="137"/>
      <c r="AF131" s="137"/>
      <c r="AG131" s="137"/>
      <c r="AH131" s="137"/>
      <c r="AI131" s="137"/>
      <c r="AJ131" s="137"/>
      <c r="AK131" s="137"/>
      <c r="AL131" s="137"/>
      <c r="AM131" s="137"/>
      <c r="AN131" s="137"/>
      <c r="AO131" s="137"/>
      <c r="AP131" s="137"/>
      <c r="AQ131" s="137"/>
      <c r="AR131" s="137"/>
      <c r="AS131" s="137"/>
      <c r="AT131" s="137"/>
      <c r="AU131" s="43"/>
    </row>
    <row r="132" spans="2:47" ht="14.45" customHeight="1" x14ac:dyDescent="0.25">
      <c r="B132" s="560"/>
      <c r="C132" s="180"/>
      <c r="D132" s="180"/>
      <c r="E132" s="180"/>
      <c r="F132" s="180"/>
      <c r="G132" s="180"/>
      <c r="H132" s="180"/>
      <c r="I132" s="180"/>
      <c r="J132" s="180"/>
      <c r="K132" s="180"/>
      <c r="L132" s="180"/>
      <c r="M132" s="180"/>
      <c r="N132" s="180"/>
      <c r="O132" s="180"/>
      <c r="P132" s="180"/>
      <c r="Q132" s="180"/>
      <c r="R132" s="180"/>
      <c r="S132" s="180"/>
      <c r="T132" s="180"/>
      <c r="U132" s="180"/>
      <c r="V132" s="180"/>
      <c r="W132" s="561"/>
      <c r="Z132" s="29"/>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43"/>
    </row>
    <row r="133" spans="2:47" ht="9" customHeight="1" x14ac:dyDescent="0.25">
      <c r="B133" s="45"/>
      <c r="C133" s="46"/>
      <c r="D133" s="46"/>
      <c r="E133" s="46"/>
      <c r="F133" s="46"/>
      <c r="G133" s="46"/>
      <c r="H133" s="46"/>
      <c r="I133" s="46"/>
      <c r="J133" s="46"/>
      <c r="K133" s="46"/>
      <c r="L133" s="46"/>
      <c r="M133" s="46"/>
      <c r="N133" s="46"/>
      <c r="O133" s="46"/>
      <c r="P133" s="46"/>
      <c r="Q133" s="46"/>
      <c r="R133" s="46"/>
      <c r="S133" s="46"/>
      <c r="T133" s="46"/>
      <c r="U133" s="46"/>
      <c r="V133" s="46"/>
      <c r="W133" s="47"/>
      <c r="Z133" s="29"/>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43"/>
    </row>
    <row r="134" spans="2:47" ht="14.45" customHeight="1" x14ac:dyDescent="0.25">
      <c r="B134" s="42"/>
      <c r="C134" s="181" t="s">
        <v>320</v>
      </c>
      <c r="D134" s="182"/>
      <c r="E134" s="182"/>
      <c r="F134" s="182"/>
      <c r="G134" s="182"/>
      <c r="H134" s="182"/>
      <c r="I134" s="182"/>
      <c r="J134" s="182"/>
      <c r="K134" s="182"/>
      <c r="L134" s="182"/>
      <c r="M134" s="182"/>
      <c r="N134" s="182"/>
      <c r="O134" s="182"/>
      <c r="P134" s="182"/>
      <c r="Q134" s="182"/>
      <c r="R134" s="182"/>
      <c r="S134" s="182"/>
      <c r="T134" s="182"/>
      <c r="U134" s="182"/>
      <c r="V134" s="182"/>
      <c r="W134" s="37"/>
      <c r="Z134" s="29"/>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43"/>
    </row>
    <row r="135" spans="2:47" x14ac:dyDescent="0.25">
      <c r="B135" s="42"/>
      <c r="C135" s="182"/>
      <c r="D135" s="182"/>
      <c r="E135" s="182"/>
      <c r="F135" s="182"/>
      <c r="G135" s="182"/>
      <c r="H135" s="182"/>
      <c r="I135" s="182"/>
      <c r="J135" s="182"/>
      <c r="K135" s="182"/>
      <c r="L135" s="182"/>
      <c r="M135" s="182"/>
      <c r="N135" s="182"/>
      <c r="O135" s="182"/>
      <c r="P135" s="182"/>
      <c r="Q135" s="182"/>
      <c r="R135" s="182"/>
      <c r="S135" s="182"/>
      <c r="T135" s="182"/>
      <c r="U135" s="182"/>
      <c r="V135" s="182"/>
      <c r="W135" s="37"/>
      <c r="Z135" s="29"/>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43"/>
    </row>
    <row r="136" spans="2:47" x14ac:dyDescent="0.25">
      <c r="B136" s="42"/>
      <c r="C136" s="182"/>
      <c r="D136" s="182"/>
      <c r="E136" s="182"/>
      <c r="F136" s="182"/>
      <c r="G136" s="182"/>
      <c r="H136" s="182"/>
      <c r="I136" s="182"/>
      <c r="J136" s="182"/>
      <c r="K136" s="182"/>
      <c r="L136" s="182"/>
      <c r="M136" s="182"/>
      <c r="N136" s="182"/>
      <c r="O136" s="182"/>
      <c r="P136" s="182"/>
      <c r="Q136" s="182"/>
      <c r="R136" s="182"/>
      <c r="S136" s="182"/>
      <c r="T136" s="182"/>
      <c r="U136" s="182"/>
      <c r="V136" s="182"/>
      <c r="W136" s="37"/>
      <c r="Z136" s="29"/>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43"/>
    </row>
    <row r="137" spans="2:47" x14ac:dyDescent="0.25">
      <c r="B137" s="30"/>
      <c r="C137" s="182"/>
      <c r="D137" s="182"/>
      <c r="E137" s="182"/>
      <c r="F137" s="182"/>
      <c r="G137" s="182"/>
      <c r="H137" s="182"/>
      <c r="I137" s="182"/>
      <c r="J137" s="182"/>
      <c r="K137" s="182"/>
      <c r="L137" s="182"/>
      <c r="M137" s="182"/>
      <c r="N137" s="182"/>
      <c r="O137" s="182"/>
      <c r="P137" s="182"/>
      <c r="Q137" s="182"/>
      <c r="R137" s="182"/>
      <c r="S137" s="182"/>
      <c r="T137" s="182"/>
      <c r="U137" s="182"/>
      <c r="V137" s="182"/>
      <c r="W137" s="32"/>
      <c r="Z137" s="29"/>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43"/>
    </row>
    <row r="138" spans="2:47" ht="14.45" customHeight="1" x14ac:dyDescent="0.25">
      <c r="B138" s="549" t="s">
        <v>241</v>
      </c>
      <c r="C138" s="550"/>
      <c r="D138" s="551" t="s">
        <v>151</v>
      </c>
      <c r="E138" s="552"/>
      <c r="F138" s="552"/>
      <c r="G138" s="552"/>
      <c r="H138" s="552"/>
      <c r="I138" s="552"/>
      <c r="J138" s="552"/>
      <c r="K138" s="552"/>
      <c r="L138" s="552"/>
      <c r="M138" s="552"/>
      <c r="N138" s="552"/>
      <c r="O138" s="552"/>
      <c r="P138" s="552"/>
      <c r="Q138" s="552"/>
      <c r="R138" s="552"/>
      <c r="S138" s="552"/>
      <c r="T138" s="552"/>
      <c r="U138" s="552"/>
      <c r="V138" s="552"/>
      <c r="W138" s="36"/>
      <c r="Z138" s="29"/>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43"/>
    </row>
    <row r="139" spans="2:47" ht="14.45" customHeight="1" x14ac:dyDescent="0.25">
      <c r="B139" s="30"/>
      <c r="C139" s="31"/>
      <c r="D139" s="552"/>
      <c r="E139" s="552"/>
      <c r="F139" s="552"/>
      <c r="G139" s="552"/>
      <c r="H139" s="552"/>
      <c r="I139" s="552"/>
      <c r="J139" s="552"/>
      <c r="K139" s="552"/>
      <c r="L139" s="552"/>
      <c r="M139" s="552"/>
      <c r="N139" s="552"/>
      <c r="O139" s="552"/>
      <c r="P139" s="552"/>
      <c r="Q139" s="552"/>
      <c r="R139" s="552"/>
      <c r="S139" s="552"/>
      <c r="T139" s="552"/>
      <c r="U139" s="552"/>
      <c r="V139" s="552"/>
      <c r="W139" s="36"/>
      <c r="Z139" s="29"/>
      <c r="AA139" s="543" t="s">
        <v>243</v>
      </c>
      <c r="AB139" s="543"/>
      <c r="AC139" s="544" t="s">
        <v>244</v>
      </c>
      <c r="AD139" s="544"/>
      <c r="AE139" s="544"/>
      <c r="AF139" s="544"/>
      <c r="AG139" s="544"/>
      <c r="AH139" s="544"/>
      <c r="AI139" s="544"/>
      <c r="AJ139" s="544"/>
      <c r="AK139" s="544"/>
      <c r="AL139" s="544"/>
      <c r="AM139" s="544"/>
      <c r="AN139" s="544"/>
      <c r="AO139" s="544"/>
      <c r="AP139" s="544"/>
      <c r="AQ139" s="544"/>
      <c r="AR139" s="544"/>
      <c r="AS139" s="544"/>
      <c r="AT139" s="544"/>
      <c r="AU139" s="43"/>
    </row>
    <row r="140" spans="2:47" ht="14.45" customHeight="1" x14ac:dyDescent="0.25">
      <c r="B140" s="30"/>
      <c r="C140" s="31"/>
      <c r="D140" s="552"/>
      <c r="E140" s="552"/>
      <c r="F140" s="552"/>
      <c r="G140" s="552"/>
      <c r="H140" s="552"/>
      <c r="I140" s="552"/>
      <c r="J140" s="552"/>
      <c r="K140" s="552"/>
      <c r="L140" s="552"/>
      <c r="M140" s="552"/>
      <c r="N140" s="552"/>
      <c r="O140" s="552"/>
      <c r="P140" s="552"/>
      <c r="Q140" s="552"/>
      <c r="R140" s="552"/>
      <c r="S140" s="552"/>
      <c r="T140" s="552"/>
      <c r="U140" s="552"/>
      <c r="V140" s="552"/>
      <c r="W140" s="34"/>
      <c r="Z140" s="29"/>
      <c r="AA140" s="543"/>
      <c r="AB140" s="543"/>
      <c r="AC140" s="544"/>
      <c r="AD140" s="544"/>
      <c r="AE140" s="544"/>
      <c r="AF140" s="544"/>
      <c r="AG140" s="544"/>
      <c r="AH140" s="544"/>
      <c r="AI140" s="544"/>
      <c r="AJ140" s="544"/>
      <c r="AK140" s="544"/>
      <c r="AL140" s="544"/>
      <c r="AM140" s="544"/>
      <c r="AN140" s="544"/>
      <c r="AO140" s="544"/>
      <c r="AP140" s="544"/>
      <c r="AQ140" s="544"/>
      <c r="AR140" s="544"/>
      <c r="AS140" s="544"/>
      <c r="AT140" s="544"/>
      <c r="AU140" s="43"/>
    </row>
    <row r="141" spans="2:47" ht="14.45" customHeight="1" x14ac:dyDescent="0.25">
      <c r="B141" s="549" t="s">
        <v>241</v>
      </c>
      <c r="C141" s="550"/>
      <c r="D141" s="551" t="s">
        <v>164</v>
      </c>
      <c r="E141" s="552"/>
      <c r="F141" s="552"/>
      <c r="G141" s="552"/>
      <c r="H141" s="552"/>
      <c r="I141" s="552"/>
      <c r="J141" s="552"/>
      <c r="K141" s="552"/>
      <c r="L141" s="552"/>
      <c r="M141" s="552"/>
      <c r="N141" s="552"/>
      <c r="O141" s="552"/>
      <c r="P141" s="552"/>
      <c r="Q141" s="552"/>
      <c r="R141" s="552"/>
      <c r="S141" s="552"/>
      <c r="T141" s="552"/>
      <c r="U141" s="552"/>
      <c r="V141" s="552"/>
      <c r="W141" s="36"/>
      <c r="Z141" s="29"/>
      <c r="AA141" s="543"/>
      <c r="AB141" s="543"/>
      <c r="AC141" s="544"/>
      <c r="AD141" s="544"/>
      <c r="AE141" s="544"/>
      <c r="AF141" s="544"/>
      <c r="AG141" s="544"/>
      <c r="AH141" s="544"/>
      <c r="AI141" s="544"/>
      <c r="AJ141" s="544"/>
      <c r="AK141" s="544"/>
      <c r="AL141" s="544"/>
      <c r="AM141" s="544"/>
      <c r="AN141" s="544"/>
      <c r="AO141" s="544"/>
      <c r="AP141" s="544"/>
      <c r="AQ141" s="544"/>
      <c r="AR141" s="544"/>
      <c r="AS141" s="544"/>
      <c r="AT141" s="544"/>
      <c r="AU141" s="43"/>
    </row>
    <row r="142" spans="2:47" ht="14.45" customHeight="1" x14ac:dyDescent="0.25">
      <c r="B142" s="40"/>
      <c r="C142" s="41"/>
      <c r="D142" s="552"/>
      <c r="E142" s="552"/>
      <c r="F142" s="552"/>
      <c r="G142" s="552"/>
      <c r="H142" s="552"/>
      <c r="I142" s="552"/>
      <c r="J142" s="552"/>
      <c r="K142" s="552"/>
      <c r="L142" s="552"/>
      <c r="M142" s="552"/>
      <c r="N142" s="552"/>
      <c r="O142" s="552"/>
      <c r="P142" s="552"/>
      <c r="Q142" s="552"/>
      <c r="R142" s="552"/>
      <c r="S142" s="552"/>
      <c r="T142" s="552"/>
      <c r="U142" s="552"/>
      <c r="V142" s="552"/>
      <c r="W142" s="36"/>
      <c r="Z142" s="29"/>
      <c r="AA142" s="543" t="s">
        <v>245</v>
      </c>
      <c r="AB142" s="543"/>
      <c r="AC142" s="544" t="s">
        <v>325</v>
      </c>
      <c r="AD142" s="544"/>
      <c r="AE142" s="544"/>
      <c r="AF142" s="544"/>
      <c r="AG142" s="544"/>
      <c r="AH142" s="544"/>
      <c r="AI142" s="544"/>
      <c r="AJ142" s="544"/>
      <c r="AK142" s="544"/>
      <c r="AL142" s="544"/>
      <c r="AM142" s="544"/>
      <c r="AN142" s="544"/>
      <c r="AO142" s="544"/>
      <c r="AP142" s="544"/>
      <c r="AQ142" s="544"/>
      <c r="AR142" s="544"/>
      <c r="AS142" s="544"/>
      <c r="AT142" s="544"/>
      <c r="AU142" s="43"/>
    </row>
    <row r="143" spans="2:47" ht="14.45" customHeight="1" x14ac:dyDescent="0.25">
      <c r="B143" s="30"/>
      <c r="C143" s="31"/>
      <c r="D143" s="552"/>
      <c r="E143" s="552"/>
      <c r="F143" s="552"/>
      <c r="G143" s="552"/>
      <c r="H143" s="552"/>
      <c r="I143" s="552"/>
      <c r="J143" s="552"/>
      <c r="K143" s="552"/>
      <c r="L143" s="552"/>
      <c r="M143" s="552"/>
      <c r="N143" s="552"/>
      <c r="O143" s="552"/>
      <c r="P143" s="552"/>
      <c r="Q143" s="552"/>
      <c r="R143" s="552"/>
      <c r="S143" s="552"/>
      <c r="T143" s="552"/>
      <c r="U143" s="552"/>
      <c r="V143" s="552"/>
      <c r="W143" s="36"/>
      <c r="Z143" s="29"/>
      <c r="AA143" s="543"/>
      <c r="AB143" s="543"/>
      <c r="AC143" s="544"/>
      <c r="AD143" s="544"/>
      <c r="AE143" s="544"/>
      <c r="AF143" s="544"/>
      <c r="AG143" s="544"/>
      <c r="AH143" s="544"/>
      <c r="AI143" s="544"/>
      <c r="AJ143" s="544"/>
      <c r="AK143" s="544"/>
      <c r="AL143" s="544"/>
      <c r="AM143" s="544"/>
      <c r="AN143" s="544"/>
      <c r="AO143" s="544"/>
      <c r="AP143" s="544"/>
      <c r="AQ143" s="544"/>
      <c r="AR143" s="544"/>
      <c r="AS143" s="544"/>
      <c r="AT143" s="544"/>
      <c r="AU143" s="43"/>
    </row>
    <row r="144" spans="2:47" ht="12" customHeight="1" x14ac:dyDescent="0.25">
      <c r="B144" s="30"/>
      <c r="C144" s="31"/>
      <c r="D144" s="552"/>
      <c r="E144" s="552"/>
      <c r="F144" s="552"/>
      <c r="G144" s="552"/>
      <c r="H144" s="552"/>
      <c r="I144" s="552"/>
      <c r="J144" s="552"/>
      <c r="K144" s="552"/>
      <c r="L144" s="552"/>
      <c r="M144" s="552"/>
      <c r="N144" s="552"/>
      <c r="O144" s="552"/>
      <c r="P144" s="552"/>
      <c r="Q144" s="552"/>
      <c r="R144" s="552"/>
      <c r="S144" s="552"/>
      <c r="T144" s="552"/>
      <c r="U144" s="552"/>
      <c r="V144" s="552"/>
      <c r="W144" s="34"/>
      <c r="Z144" s="29"/>
      <c r="AA144" s="543"/>
      <c r="AB144" s="543"/>
      <c r="AC144" s="544"/>
      <c r="AD144" s="544"/>
      <c r="AE144" s="544"/>
      <c r="AF144" s="544"/>
      <c r="AG144" s="544"/>
      <c r="AH144" s="544"/>
      <c r="AI144" s="544"/>
      <c r="AJ144" s="544"/>
      <c r="AK144" s="544"/>
      <c r="AL144" s="544"/>
      <c r="AM144" s="544"/>
      <c r="AN144" s="544"/>
      <c r="AO144" s="544"/>
      <c r="AP144" s="544"/>
      <c r="AQ144" s="544"/>
      <c r="AR144" s="544"/>
      <c r="AS144" s="544"/>
      <c r="AT144" s="544"/>
      <c r="AU144" s="43"/>
    </row>
    <row r="145" spans="2:47" ht="14.45" customHeight="1" x14ac:dyDescent="0.25">
      <c r="B145" s="549" t="s">
        <v>241</v>
      </c>
      <c r="C145" s="550"/>
      <c r="D145" s="551" t="s">
        <v>323</v>
      </c>
      <c r="E145" s="552"/>
      <c r="F145" s="552"/>
      <c r="G145" s="552"/>
      <c r="H145" s="552"/>
      <c r="I145" s="552"/>
      <c r="J145" s="552"/>
      <c r="K145" s="552"/>
      <c r="L145" s="552"/>
      <c r="M145" s="552"/>
      <c r="N145" s="552"/>
      <c r="O145" s="552"/>
      <c r="P145" s="552"/>
      <c r="Q145" s="552"/>
      <c r="R145" s="552"/>
      <c r="S145" s="552"/>
      <c r="T145" s="552"/>
      <c r="U145" s="552"/>
      <c r="V145" s="552"/>
      <c r="W145" s="37"/>
      <c r="Z145" s="29"/>
      <c r="AA145" s="543"/>
      <c r="AB145" s="543"/>
      <c r="AC145" s="544"/>
      <c r="AD145" s="544"/>
      <c r="AE145" s="544"/>
      <c r="AF145" s="544"/>
      <c r="AG145" s="544"/>
      <c r="AH145" s="544"/>
      <c r="AI145" s="544"/>
      <c r="AJ145" s="544"/>
      <c r="AK145" s="544"/>
      <c r="AL145" s="544"/>
      <c r="AM145" s="544"/>
      <c r="AN145" s="544"/>
      <c r="AO145" s="544"/>
      <c r="AP145" s="544"/>
      <c r="AQ145" s="544"/>
      <c r="AR145" s="544"/>
      <c r="AS145" s="544"/>
      <c r="AT145" s="544"/>
      <c r="AU145" s="43"/>
    </row>
    <row r="146" spans="2:47" x14ac:dyDescent="0.25">
      <c r="B146" s="33"/>
      <c r="C146" s="5"/>
      <c r="D146" s="552"/>
      <c r="E146" s="552"/>
      <c r="F146" s="552"/>
      <c r="G146" s="552"/>
      <c r="H146" s="552"/>
      <c r="I146" s="552"/>
      <c r="J146" s="552"/>
      <c r="K146" s="552"/>
      <c r="L146" s="552"/>
      <c r="M146" s="552"/>
      <c r="N146" s="552"/>
      <c r="O146" s="552"/>
      <c r="P146" s="552"/>
      <c r="Q146" s="552"/>
      <c r="R146" s="552"/>
      <c r="S146" s="552"/>
      <c r="T146" s="552"/>
      <c r="U146" s="552"/>
      <c r="V146" s="552"/>
      <c r="W146" s="37"/>
      <c r="Z146" s="29"/>
      <c r="AU146" s="43"/>
    </row>
    <row r="147" spans="2:47" ht="15" customHeight="1" x14ac:dyDescent="0.25">
      <c r="B147" s="29"/>
      <c r="D147" s="552"/>
      <c r="E147" s="552"/>
      <c r="F147" s="552"/>
      <c r="G147" s="552"/>
      <c r="H147" s="552"/>
      <c r="I147" s="552"/>
      <c r="J147" s="552"/>
      <c r="K147" s="552"/>
      <c r="L147" s="552"/>
      <c r="M147" s="552"/>
      <c r="N147" s="552"/>
      <c r="O147" s="552"/>
      <c r="P147" s="552"/>
      <c r="Q147" s="552"/>
      <c r="R147" s="552"/>
      <c r="S147" s="552"/>
      <c r="T147" s="552"/>
      <c r="U147" s="552"/>
      <c r="V147" s="552"/>
      <c r="W147" s="37"/>
      <c r="Z147" s="29"/>
      <c r="AU147" s="43"/>
    </row>
    <row r="148" spans="2:47" ht="15" customHeight="1" x14ac:dyDescent="0.25">
      <c r="B148" s="29"/>
      <c r="D148" s="552"/>
      <c r="E148" s="552"/>
      <c r="F148" s="552"/>
      <c r="G148" s="552"/>
      <c r="H148" s="552"/>
      <c r="I148" s="552"/>
      <c r="J148" s="552"/>
      <c r="K148" s="552"/>
      <c r="L148" s="552"/>
      <c r="M148" s="552"/>
      <c r="N148" s="552"/>
      <c r="O148" s="552"/>
      <c r="P148" s="552"/>
      <c r="Q148" s="552"/>
      <c r="R148" s="552"/>
      <c r="S148" s="552"/>
      <c r="T148" s="552"/>
      <c r="U148" s="552"/>
      <c r="V148" s="552"/>
      <c r="W148" s="37"/>
      <c r="Z148" s="29"/>
      <c r="AU148" s="43"/>
    </row>
    <row r="149" spans="2:47" ht="15" customHeight="1" x14ac:dyDescent="0.25">
      <c r="B149" s="29"/>
      <c r="D149" s="552"/>
      <c r="E149" s="552"/>
      <c r="F149" s="552"/>
      <c r="G149" s="552"/>
      <c r="H149" s="552"/>
      <c r="I149" s="552"/>
      <c r="J149" s="552"/>
      <c r="K149" s="552"/>
      <c r="L149" s="552"/>
      <c r="M149" s="552"/>
      <c r="N149" s="552"/>
      <c r="O149" s="552"/>
      <c r="P149" s="552"/>
      <c r="Q149" s="552"/>
      <c r="R149" s="552"/>
      <c r="S149" s="552"/>
      <c r="T149" s="552"/>
      <c r="U149" s="552"/>
      <c r="V149" s="552"/>
      <c r="W149" s="37"/>
      <c r="Z149" s="29"/>
      <c r="AU149" s="43"/>
    </row>
    <row r="150" spans="2:47" ht="15" customHeight="1" x14ac:dyDescent="0.25">
      <c r="B150" s="29"/>
      <c r="D150" s="552"/>
      <c r="E150" s="552"/>
      <c r="F150" s="552"/>
      <c r="G150" s="552"/>
      <c r="H150" s="552"/>
      <c r="I150" s="552"/>
      <c r="J150" s="552"/>
      <c r="K150" s="552"/>
      <c r="L150" s="552"/>
      <c r="M150" s="552"/>
      <c r="N150" s="552"/>
      <c r="O150" s="552"/>
      <c r="P150" s="552"/>
      <c r="Q150" s="552"/>
      <c r="R150" s="552"/>
      <c r="S150" s="552"/>
      <c r="T150" s="552"/>
      <c r="U150" s="552"/>
      <c r="V150" s="552"/>
      <c r="W150" s="37"/>
      <c r="Z150" s="29"/>
      <c r="AU150" s="43"/>
    </row>
    <row r="151" spans="2:47" ht="15" customHeight="1" x14ac:dyDescent="0.25">
      <c r="B151" s="29"/>
      <c r="D151" s="552"/>
      <c r="E151" s="552"/>
      <c r="F151" s="552"/>
      <c r="G151" s="552"/>
      <c r="H151" s="552"/>
      <c r="I151" s="552"/>
      <c r="J151" s="552"/>
      <c r="K151" s="552"/>
      <c r="L151" s="552"/>
      <c r="M151" s="552"/>
      <c r="N151" s="552"/>
      <c r="O151" s="552"/>
      <c r="P151" s="552"/>
      <c r="Q151" s="552"/>
      <c r="R151" s="552"/>
      <c r="S151" s="552"/>
      <c r="T151" s="552"/>
      <c r="U151" s="552"/>
      <c r="V151" s="552"/>
      <c r="W151" s="35"/>
      <c r="Z151" s="29"/>
      <c r="AU151" s="43"/>
    </row>
    <row r="152" spans="2:47" ht="12" customHeight="1" x14ac:dyDescent="0.25">
      <c r="B152" s="29"/>
      <c r="D152" s="552"/>
      <c r="E152" s="552"/>
      <c r="F152" s="552"/>
      <c r="G152" s="552"/>
      <c r="H152" s="552"/>
      <c r="I152" s="552"/>
      <c r="J152" s="552"/>
      <c r="K152" s="552"/>
      <c r="L152" s="552"/>
      <c r="M152" s="552"/>
      <c r="N152" s="552"/>
      <c r="O152" s="552"/>
      <c r="P152" s="552"/>
      <c r="Q152" s="552"/>
      <c r="R152" s="552"/>
      <c r="S152" s="552"/>
      <c r="T152" s="552"/>
      <c r="U152" s="552"/>
      <c r="V152" s="552"/>
      <c r="W152" s="35"/>
      <c r="Z152" s="29"/>
      <c r="AU152" s="43"/>
    </row>
    <row r="153" spans="2:47" ht="15" customHeight="1" x14ac:dyDescent="0.25">
      <c r="B153" s="549" t="s">
        <v>241</v>
      </c>
      <c r="C153" s="550"/>
      <c r="D153" s="551" t="s">
        <v>150</v>
      </c>
      <c r="E153" s="552"/>
      <c r="F153" s="552"/>
      <c r="G153" s="552"/>
      <c r="H153" s="552"/>
      <c r="I153" s="552"/>
      <c r="J153" s="552"/>
      <c r="K153" s="552"/>
      <c r="L153" s="552"/>
      <c r="M153" s="552"/>
      <c r="N153" s="552"/>
      <c r="O153" s="552"/>
      <c r="P153" s="552"/>
      <c r="Q153" s="552"/>
      <c r="R153" s="552"/>
      <c r="S153" s="552"/>
      <c r="T153" s="552"/>
      <c r="U153" s="552"/>
      <c r="V153" s="552"/>
      <c r="W153" s="36"/>
      <c r="Z153" s="29"/>
      <c r="AU153" s="43"/>
    </row>
    <row r="154" spans="2:47" ht="15" customHeight="1" x14ac:dyDescent="0.25">
      <c r="B154" s="40"/>
      <c r="C154" s="41"/>
      <c r="D154" s="552"/>
      <c r="E154" s="552"/>
      <c r="F154" s="552"/>
      <c r="G154" s="552"/>
      <c r="H154" s="552"/>
      <c r="I154" s="552"/>
      <c r="J154" s="552"/>
      <c r="K154" s="552"/>
      <c r="L154" s="552"/>
      <c r="M154" s="552"/>
      <c r="N154" s="552"/>
      <c r="O154" s="552"/>
      <c r="P154" s="552"/>
      <c r="Q154" s="552"/>
      <c r="R154" s="552"/>
      <c r="S154" s="552"/>
      <c r="T154" s="552"/>
      <c r="U154" s="552"/>
      <c r="V154" s="552"/>
      <c r="W154" s="36"/>
      <c r="Z154" s="29"/>
      <c r="AU154" s="43"/>
    </row>
    <row r="155" spans="2:47" ht="15" customHeight="1" thickBot="1" x14ac:dyDescent="0.3">
      <c r="B155" s="22"/>
      <c r="C155" s="18"/>
      <c r="D155" s="38"/>
      <c r="E155" s="38"/>
      <c r="F155" s="38"/>
      <c r="G155" s="38"/>
      <c r="H155" s="38"/>
      <c r="I155" s="38"/>
      <c r="J155" s="38"/>
      <c r="K155" s="38"/>
      <c r="L155" s="38"/>
      <c r="M155" s="38"/>
      <c r="N155" s="38"/>
      <c r="O155" s="38"/>
      <c r="P155" s="38"/>
      <c r="Q155" s="38"/>
      <c r="R155" s="38"/>
      <c r="S155" s="38"/>
      <c r="T155" s="38"/>
      <c r="U155" s="38"/>
      <c r="V155" s="38"/>
      <c r="W155" s="39"/>
      <c r="Z155" s="22"/>
      <c r="AA155" s="18"/>
      <c r="AB155" s="18"/>
      <c r="AC155" s="18"/>
      <c r="AD155" s="18"/>
      <c r="AE155" s="18"/>
      <c r="AF155" s="18"/>
      <c r="AG155" s="18"/>
      <c r="AH155" s="18"/>
      <c r="AI155" s="18"/>
      <c r="AJ155" s="18"/>
      <c r="AK155" s="18"/>
      <c r="AL155" s="18"/>
      <c r="AM155" s="18"/>
      <c r="AN155" s="18"/>
      <c r="AO155" s="18"/>
      <c r="AP155" s="18"/>
      <c r="AQ155" s="18"/>
      <c r="AR155" s="18"/>
      <c r="AS155" s="18"/>
      <c r="AT155" s="18"/>
      <c r="AU155" s="44"/>
    </row>
    <row r="156" spans="2:47" ht="15" customHeight="1" x14ac:dyDescent="0.25">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row>
    <row r="158" spans="2:47" x14ac:dyDescent="0.25">
      <c r="AU158" s="66" t="s">
        <v>259</v>
      </c>
    </row>
    <row r="159" spans="2:47" x14ac:dyDescent="0.25">
      <c r="AB159" s="135"/>
      <c r="AC159" s="1" t="s">
        <v>326</v>
      </c>
    </row>
  </sheetData>
  <mergeCells count="632">
    <mergeCell ref="B124:J124"/>
    <mergeCell ref="K124:R124"/>
    <mergeCell ref="B125:J125"/>
    <mergeCell ref="AA131:AT138"/>
    <mergeCell ref="AA142:AB145"/>
    <mergeCell ref="AC142:AT145"/>
    <mergeCell ref="D115:R116"/>
    <mergeCell ref="B153:C153"/>
    <mergeCell ref="D153:V154"/>
    <mergeCell ref="B128:C129"/>
    <mergeCell ref="AB128:AU129"/>
    <mergeCell ref="B130:W132"/>
    <mergeCell ref="AA139:AB141"/>
    <mergeCell ref="AC139:AT141"/>
    <mergeCell ref="B138:C138"/>
    <mergeCell ref="B141:C141"/>
    <mergeCell ref="B145:C145"/>
    <mergeCell ref="D138:V140"/>
    <mergeCell ref="D141:V144"/>
    <mergeCell ref="D145:V152"/>
    <mergeCell ref="K125:R125"/>
    <mergeCell ref="AV110:AX110"/>
    <mergeCell ref="BA92:BD92"/>
    <mergeCell ref="BB13:BD13"/>
    <mergeCell ref="AJ111:AO111"/>
    <mergeCell ref="AP111:AU111"/>
    <mergeCell ref="AJ42:AR42"/>
    <mergeCell ref="AJ43:AR43"/>
    <mergeCell ref="AJ44:AR44"/>
    <mergeCell ref="AJ45:AR45"/>
    <mergeCell ref="AJ46:AR46"/>
    <mergeCell ref="AJ47:AR47"/>
    <mergeCell ref="AJ48:AR48"/>
    <mergeCell ref="AJ49:AR49"/>
    <mergeCell ref="AJ50:AR50"/>
    <mergeCell ref="AJ51:AR51"/>
    <mergeCell ref="AJ52:AR52"/>
    <mergeCell ref="AJ53:AR53"/>
    <mergeCell ref="AS42:AZ42"/>
    <mergeCell ref="AS43:AZ43"/>
    <mergeCell ref="AP107:AU107"/>
    <mergeCell ref="AJ101:AO101"/>
    <mergeCell ref="AP101:AU101"/>
    <mergeCell ref="AS44:AZ44"/>
    <mergeCell ref="AP91:AU91"/>
    <mergeCell ref="C110:M110"/>
    <mergeCell ref="AJ110:AO110"/>
    <mergeCell ref="AP110:AU110"/>
    <mergeCell ref="AV91:AX91"/>
    <mergeCell ref="AV92:AX92"/>
    <mergeCell ref="AV93:AX93"/>
    <mergeCell ref="AV94:AX94"/>
    <mergeCell ref="AV95:AX95"/>
    <mergeCell ref="AV96:AX96"/>
    <mergeCell ref="AV97:AX97"/>
    <mergeCell ref="AV98:AX98"/>
    <mergeCell ref="AV99:AX99"/>
    <mergeCell ref="AV100:AX100"/>
    <mergeCell ref="AV101:AX101"/>
    <mergeCell ref="AV102:AX102"/>
    <mergeCell ref="AV103:AX103"/>
    <mergeCell ref="AV104:AX104"/>
    <mergeCell ref="AV105:AX105"/>
    <mergeCell ref="AV106:AX106"/>
    <mergeCell ref="AV107:AX107"/>
    <mergeCell ref="AV108:AX108"/>
    <mergeCell ref="C107:M107"/>
    <mergeCell ref="AJ107:AO107"/>
    <mergeCell ref="AV109:AX109"/>
    <mergeCell ref="C108:M108"/>
    <mergeCell ref="AJ108:AO108"/>
    <mergeCell ref="AP108:AU108"/>
    <mergeCell ref="C109:M109"/>
    <mergeCell ref="AJ109:AO109"/>
    <mergeCell ref="AP109:AU109"/>
    <mergeCell ref="C104:M104"/>
    <mergeCell ref="AJ104:AO104"/>
    <mergeCell ref="AP104:AU104"/>
    <mergeCell ref="C105:M105"/>
    <mergeCell ref="AJ105:AO105"/>
    <mergeCell ref="AP105:AU105"/>
    <mergeCell ref="C106:M106"/>
    <mergeCell ref="AJ106:AO106"/>
    <mergeCell ref="AP106:AU106"/>
    <mergeCell ref="AP89:AU90"/>
    <mergeCell ref="B84:C85"/>
    <mergeCell ref="O65:U65"/>
    <mergeCell ref="V65:Z65"/>
    <mergeCell ref="AB66:AH66"/>
    <mergeCell ref="AI66:AM66"/>
    <mergeCell ref="AV81:AZ81"/>
    <mergeCell ref="AV67:AZ67"/>
    <mergeCell ref="AV73:AZ73"/>
    <mergeCell ref="AV77:AZ77"/>
    <mergeCell ref="AV78:AZ78"/>
    <mergeCell ref="AV79:AZ79"/>
    <mergeCell ref="AV80:AZ80"/>
    <mergeCell ref="AB80:AH80"/>
    <mergeCell ref="AO64:AZ65"/>
    <mergeCell ref="AV68:AZ68"/>
    <mergeCell ref="AV69:AZ69"/>
    <mergeCell ref="AV70:AZ70"/>
    <mergeCell ref="AV71:AZ71"/>
    <mergeCell ref="AV72:AZ72"/>
    <mergeCell ref="AV76:AZ76"/>
    <mergeCell ref="AV74:AZ74"/>
    <mergeCell ref="AI70:AM70"/>
    <mergeCell ref="AI71:AM71"/>
    <mergeCell ref="C102:M102"/>
    <mergeCell ref="AJ102:AO102"/>
    <mergeCell ref="AP102:AU102"/>
    <mergeCell ref="C103:M103"/>
    <mergeCell ref="AJ103:AO103"/>
    <mergeCell ref="AP103:AU103"/>
    <mergeCell ref="C99:M99"/>
    <mergeCell ref="S49:Y49"/>
    <mergeCell ref="Z49:AH49"/>
    <mergeCell ref="C89:M90"/>
    <mergeCell ref="C91:M91"/>
    <mergeCell ref="AJ91:AO91"/>
    <mergeCell ref="AJ89:AO90"/>
    <mergeCell ref="AO67:AU67"/>
    <mergeCell ref="AB67:AH67"/>
    <mergeCell ref="AI67:AM67"/>
    <mergeCell ref="AB73:AH73"/>
    <mergeCell ref="AI73:AM73"/>
    <mergeCell ref="AO73:AU73"/>
    <mergeCell ref="AI76:AM76"/>
    <mergeCell ref="AI74:AM74"/>
    <mergeCell ref="AI77:AM77"/>
    <mergeCell ref="AI78:AM78"/>
    <mergeCell ref="AI79:AM79"/>
    <mergeCell ref="C98:M98"/>
    <mergeCell ref="AJ98:AO98"/>
    <mergeCell ref="AP98:AU98"/>
    <mergeCell ref="C101:M101"/>
    <mergeCell ref="C96:M96"/>
    <mergeCell ref="C97:M97"/>
    <mergeCell ref="AJ96:AO96"/>
    <mergeCell ref="AJ97:AO97"/>
    <mergeCell ref="AP96:AU96"/>
    <mergeCell ref="AP97:AU97"/>
    <mergeCell ref="AJ99:AO99"/>
    <mergeCell ref="AP99:AU99"/>
    <mergeCell ref="C100:M100"/>
    <mergeCell ref="AJ100:AO100"/>
    <mergeCell ref="AP100:AU100"/>
    <mergeCell ref="AP95:AU95"/>
    <mergeCell ref="C92:M92"/>
    <mergeCell ref="C93:M93"/>
    <mergeCell ref="AJ92:AO92"/>
    <mergeCell ref="AJ93:AO93"/>
    <mergeCell ref="AP92:AU92"/>
    <mergeCell ref="AP93:AU93"/>
    <mergeCell ref="AJ94:AO94"/>
    <mergeCell ref="AJ95:AO95"/>
    <mergeCell ref="AP94:AU94"/>
    <mergeCell ref="AO62:AP63"/>
    <mergeCell ref="AO68:AU68"/>
    <mergeCell ref="AO69:AU69"/>
    <mergeCell ref="AO66:AU66"/>
    <mergeCell ref="AV66:AZ66"/>
    <mergeCell ref="AD62:AM63"/>
    <mergeCell ref="AB64:AM65"/>
    <mergeCell ref="AI68:AM68"/>
    <mergeCell ref="AI69:AM69"/>
    <mergeCell ref="AI72:AM72"/>
    <mergeCell ref="AO75:AU75"/>
    <mergeCell ref="AQ62:AZ63"/>
    <mergeCell ref="I77:M77"/>
    <mergeCell ref="I78:M78"/>
    <mergeCell ref="AB62:AC63"/>
    <mergeCell ref="AB68:AH68"/>
    <mergeCell ref="AB69:AH69"/>
    <mergeCell ref="AB71:AH71"/>
    <mergeCell ref="AB72:AH72"/>
    <mergeCell ref="AB74:AH74"/>
    <mergeCell ref="V74:Z74"/>
    <mergeCell ref="V76:Z76"/>
    <mergeCell ref="V77:Z77"/>
    <mergeCell ref="V78:Z78"/>
    <mergeCell ref="Q62:Z63"/>
    <mergeCell ref="V64:Z64"/>
    <mergeCell ref="V67:Z67"/>
    <mergeCell ref="V68:Z68"/>
    <mergeCell ref="V69:Z69"/>
    <mergeCell ref="AI75:AM75"/>
    <mergeCell ref="AV75:AZ75"/>
    <mergeCell ref="O69:U69"/>
    <mergeCell ref="O64:U64"/>
    <mergeCell ref="O67:U67"/>
    <mergeCell ref="Z42:AH42"/>
    <mergeCell ref="Z43:AH43"/>
    <mergeCell ref="Z44:AH44"/>
    <mergeCell ref="Z45:AH45"/>
    <mergeCell ref="Z46:AH46"/>
    <mergeCell ref="Z47:AH47"/>
    <mergeCell ref="Z48:AH48"/>
    <mergeCell ref="Z50:AH50"/>
    <mergeCell ref="Z51:AH51"/>
    <mergeCell ref="I50:Q50"/>
    <mergeCell ref="I51:Q51"/>
    <mergeCell ref="S42:Y42"/>
    <mergeCell ref="S43:Y43"/>
    <mergeCell ref="S44:Y44"/>
    <mergeCell ref="S45:Y45"/>
    <mergeCell ref="S46:Y46"/>
    <mergeCell ref="S47:Y47"/>
    <mergeCell ref="S48:Y48"/>
    <mergeCell ref="S54:Y54"/>
    <mergeCell ref="Z54:AH54"/>
    <mergeCell ref="S55:Y55"/>
    <mergeCell ref="AE9:AG10"/>
    <mergeCell ref="AH9:AI10"/>
    <mergeCell ref="AJ9:AL10"/>
    <mergeCell ref="AM9:AO10"/>
    <mergeCell ref="AP9:AZ10"/>
    <mergeCell ref="B39:H39"/>
    <mergeCell ref="B42:H42"/>
    <mergeCell ref="B43:H43"/>
    <mergeCell ref="B37:H38"/>
    <mergeCell ref="I37:Q38"/>
    <mergeCell ref="D40:Q41"/>
    <mergeCell ref="S40:T41"/>
    <mergeCell ref="AJ40:AK41"/>
    <mergeCell ref="AL40:AZ41"/>
    <mergeCell ref="I42:Q42"/>
    <mergeCell ref="AM30:AO30"/>
    <mergeCell ref="AM31:AO31"/>
    <mergeCell ref="AP11:AZ11"/>
    <mergeCell ref="AP12:AZ12"/>
    <mergeCell ref="AP13:AZ13"/>
    <mergeCell ref="AP14:AZ14"/>
    <mergeCell ref="AP15:AZ15"/>
    <mergeCell ref="AP16:AZ16"/>
    <mergeCell ref="AP17:AZ17"/>
    <mergeCell ref="AM20:AO20"/>
    <mergeCell ref="AM21:AO21"/>
    <mergeCell ref="AM22:AO22"/>
    <mergeCell ref="AM23:AO23"/>
    <mergeCell ref="AM24:AO24"/>
    <mergeCell ref="AM25:AO25"/>
    <mergeCell ref="AM26:AO26"/>
    <mergeCell ref="AM27:AO27"/>
    <mergeCell ref="AP18:AZ18"/>
    <mergeCell ref="AP19:AZ19"/>
    <mergeCell ref="AP20:AZ20"/>
    <mergeCell ref="AP21:AZ21"/>
    <mergeCell ref="AP22:AZ22"/>
    <mergeCell ref="AP23:AZ23"/>
    <mergeCell ref="AP24:AZ24"/>
    <mergeCell ref="AP25:AZ25"/>
    <mergeCell ref="AP26:AZ26"/>
    <mergeCell ref="AM11:AO11"/>
    <mergeCell ref="AM12:AO12"/>
    <mergeCell ref="AM13:AO13"/>
    <mergeCell ref="AM14:AO14"/>
    <mergeCell ref="AM15:AO15"/>
    <mergeCell ref="AM16:AO16"/>
    <mergeCell ref="AM17:AO17"/>
    <mergeCell ref="AM18:AO18"/>
    <mergeCell ref="AM19:AO19"/>
    <mergeCell ref="X22:Z22"/>
    <mergeCell ref="AM28:AO28"/>
    <mergeCell ref="AH28:AI28"/>
    <mergeCell ref="AH29:AI29"/>
    <mergeCell ref="AH30:AI30"/>
    <mergeCell ref="AJ11:AL11"/>
    <mergeCell ref="AJ12:AL12"/>
    <mergeCell ref="AJ13:AL13"/>
    <mergeCell ref="AJ14:AL14"/>
    <mergeCell ref="AJ15:AL15"/>
    <mergeCell ref="AJ16:AL16"/>
    <mergeCell ref="AJ17:AL17"/>
    <mergeCell ref="AJ18:AL18"/>
    <mergeCell ref="AJ19:AL19"/>
    <mergeCell ref="AJ20:AL20"/>
    <mergeCell ref="AJ21:AL21"/>
    <mergeCell ref="AJ22:AL22"/>
    <mergeCell ref="AJ23:AL23"/>
    <mergeCell ref="AJ24:AL24"/>
    <mergeCell ref="AJ25:AL25"/>
    <mergeCell ref="AJ26:AL26"/>
    <mergeCell ref="AJ27:AL27"/>
    <mergeCell ref="AH17:AI17"/>
    <mergeCell ref="AH18:AI18"/>
    <mergeCell ref="AA23:AD23"/>
    <mergeCell ref="AE17:AG17"/>
    <mergeCell ref="AE18:AG18"/>
    <mergeCell ref="AE19:AG19"/>
    <mergeCell ref="AE20:AG20"/>
    <mergeCell ref="AE21:AG21"/>
    <mergeCell ref="AE22:AG22"/>
    <mergeCell ref="AE23:AG23"/>
    <mergeCell ref="AE24:AG24"/>
    <mergeCell ref="C30:H30"/>
    <mergeCell ref="I30:L30"/>
    <mergeCell ref="M30:O30"/>
    <mergeCell ref="P30:S30"/>
    <mergeCell ref="T30:W30"/>
    <mergeCell ref="X30:Z30"/>
    <mergeCell ref="AA30:AD30"/>
    <mergeCell ref="C29:H29"/>
    <mergeCell ref="I29:L29"/>
    <mergeCell ref="M29:O29"/>
    <mergeCell ref="P29:S29"/>
    <mergeCell ref="T29:W29"/>
    <mergeCell ref="X29:Z29"/>
    <mergeCell ref="AS53:AZ53"/>
    <mergeCell ref="Z53:AH53"/>
    <mergeCell ref="B40:C41"/>
    <mergeCell ref="I43:Q43"/>
    <mergeCell ref="I44:Q44"/>
    <mergeCell ref="I45:Q45"/>
    <mergeCell ref="I46:Q46"/>
    <mergeCell ref="I47:Q47"/>
    <mergeCell ref="I48:Q48"/>
    <mergeCell ref="S50:Y50"/>
    <mergeCell ref="S51:Y51"/>
    <mergeCell ref="I49:Q49"/>
    <mergeCell ref="P25:S25"/>
    <mergeCell ref="M24:O24"/>
    <mergeCell ref="M25:O25"/>
    <mergeCell ref="X25:Z25"/>
    <mergeCell ref="T24:W24"/>
    <mergeCell ref="T25:W25"/>
    <mergeCell ref="AS46:AZ46"/>
    <mergeCell ref="AS47:AZ47"/>
    <mergeCell ref="AS48:AZ48"/>
    <mergeCell ref="P24:S24"/>
    <mergeCell ref="AJ28:AL28"/>
    <mergeCell ref="AP27:AZ27"/>
    <mergeCell ref="AP28:AZ28"/>
    <mergeCell ref="AP29:AZ29"/>
    <mergeCell ref="AP30:AZ30"/>
    <mergeCell ref="AJ29:AL29"/>
    <mergeCell ref="AJ30:AL30"/>
    <mergeCell ref="AM29:AO29"/>
    <mergeCell ref="T27:W27"/>
    <mergeCell ref="X27:Z27"/>
    <mergeCell ref="C26:H26"/>
    <mergeCell ref="I26:L26"/>
    <mergeCell ref="M26:O26"/>
    <mergeCell ref="C28:H28"/>
    <mergeCell ref="I28:L28"/>
    <mergeCell ref="M28:O28"/>
    <mergeCell ref="P28:S28"/>
    <mergeCell ref="T28:W28"/>
    <mergeCell ref="X28:Z28"/>
    <mergeCell ref="C27:H27"/>
    <mergeCell ref="I27:L27"/>
    <mergeCell ref="M27:O27"/>
    <mergeCell ref="P27:S27"/>
    <mergeCell ref="X26:Z26"/>
    <mergeCell ref="AE29:AG29"/>
    <mergeCell ref="AE30:AG30"/>
    <mergeCell ref="AE31:AG31"/>
    <mergeCell ref="AA29:AD29"/>
    <mergeCell ref="AE11:AG11"/>
    <mergeCell ref="AE12:AG12"/>
    <mergeCell ref="AE13:AG13"/>
    <mergeCell ref="AE14:AG14"/>
    <mergeCell ref="AE15:AG15"/>
    <mergeCell ref="AE16:AG16"/>
    <mergeCell ref="AA18:AD18"/>
    <mergeCell ref="AA19:AD19"/>
    <mergeCell ref="AA20:AD20"/>
    <mergeCell ref="AA21:AD21"/>
    <mergeCell ref="AA31:AD31"/>
    <mergeCell ref="AA28:AD28"/>
    <mergeCell ref="AE28:AG28"/>
    <mergeCell ref="AA24:AD24"/>
    <mergeCell ref="AA25:AD25"/>
    <mergeCell ref="AA27:AD27"/>
    <mergeCell ref="AA22:AD22"/>
    <mergeCell ref="AA26:AD26"/>
    <mergeCell ref="AA12:AD12"/>
    <mergeCell ref="AA13:AD13"/>
    <mergeCell ref="AH11:AI11"/>
    <mergeCell ref="AH12:AI12"/>
    <mergeCell ref="AH13:AI13"/>
    <mergeCell ref="AH14:AI14"/>
    <mergeCell ref="AH15:AI15"/>
    <mergeCell ref="AH16:AI16"/>
    <mergeCell ref="AE25:AG25"/>
    <mergeCell ref="AE26:AG26"/>
    <mergeCell ref="AE27:AG27"/>
    <mergeCell ref="AH19:AI19"/>
    <mergeCell ref="AH20:AI20"/>
    <mergeCell ref="AH21:AI21"/>
    <mergeCell ref="AH22:AI22"/>
    <mergeCell ref="AH23:AI23"/>
    <mergeCell ref="AH24:AI24"/>
    <mergeCell ref="AH25:AI25"/>
    <mergeCell ref="AH26:AI26"/>
    <mergeCell ref="AH27:AI27"/>
    <mergeCell ref="X14:Z14"/>
    <mergeCell ref="X15:Z15"/>
    <mergeCell ref="AA14:AD14"/>
    <mergeCell ref="AA15:AD15"/>
    <mergeCell ref="AA16:AD16"/>
    <mergeCell ref="AA17:AD17"/>
    <mergeCell ref="X20:Z20"/>
    <mergeCell ref="X18:Z18"/>
    <mergeCell ref="X19:Z19"/>
    <mergeCell ref="X17:Z17"/>
    <mergeCell ref="X12:Z12"/>
    <mergeCell ref="X13:Z13"/>
    <mergeCell ref="C16:H16"/>
    <mergeCell ref="X24:Z24"/>
    <mergeCell ref="P18:S18"/>
    <mergeCell ref="P19:S19"/>
    <mergeCell ref="M18:O18"/>
    <mergeCell ref="M19:O19"/>
    <mergeCell ref="P20:S20"/>
    <mergeCell ref="M20:O20"/>
    <mergeCell ref="M21:O21"/>
    <mergeCell ref="M22:O22"/>
    <mergeCell ref="M23:O23"/>
    <mergeCell ref="T20:W20"/>
    <mergeCell ref="T21:W21"/>
    <mergeCell ref="T22:W22"/>
    <mergeCell ref="T23:W23"/>
    <mergeCell ref="P21:S21"/>
    <mergeCell ref="P22:S22"/>
    <mergeCell ref="P23:S23"/>
    <mergeCell ref="X23:Z23"/>
    <mergeCell ref="T17:W17"/>
    <mergeCell ref="X21:Z21"/>
    <mergeCell ref="X16:Z16"/>
    <mergeCell ref="I23:L23"/>
    <mergeCell ref="I24:L24"/>
    <mergeCell ref="I25:L25"/>
    <mergeCell ref="C24:H24"/>
    <mergeCell ref="C25:H25"/>
    <mergeCell ref="I12:L12"/>
    <mergeCell ref="I13:L13"/>
    <mergeCell ref="I14:L14"/>
    <mergeCell ref="I15:L15"/>
    <mergeCell ref="I16:L16"/>
    <mergeCell ref="I17:L17"/>
    <mergeCell ref="I18:L18"/>
    <mergeCell ref="I19:L19"/>
    <mergeCell ref="C18:H18"/>
    <mergeCell ref="C19:H19"/>
    <mergeCell ref="C20:H20"/>
    <mergeCell ref="C21:H21"/>
    <mergeCell ref="C22:H22"/>
    <mergeCell ref="C23:H23"/>
    <mergeCell ref="C12:H12"/>
    <mergeCell ref="C13:H13"/>
    <mergeCell ref="C14:H14"/>
    <mergeCell ref="I21:L21"/>
    <mergeCell ref="I22:L22"/>
    <mergeCell ref="AA9:AD10"/>
    <mergeCell ref="C9:H10"/>
    <mergeCell ref="B9:B10"/>
    <mergeCell ref="A1:AR2"/>
    <mergeCell ref="C17:H17"/>
    <mergeCell ref="C11:H11"/>
    <mergeCell ref="I11:L11"/>
    <mergeCell ref="M11:O11"/>
    <mergeCell ref="P11:S11"/>
    <mergeCell ref="T11:W11"/>
    <mergeCell ref="X11:Z11"/>
    <mergeCell ref="AA11:AD11"/>
    <mergeCell ref="P12:S12"/>
    <mergeCell ref="P13:S13"/>
    <mergeCell ref="P14:S14"/>
    <mergeCell ref="P15:S15"/>
    <mergeCell ref="P16:S16"/>
    <mergeCell ref="P17:S17"/>
    <mergeCell ref="M12:O12"/>
    <mergeCell ref="M13:O13"/>
    <mergeCell ref="M14:O14"/>
    <mergeCell ref="M15:O15"/>
    <mergeCell ref="M16:O16"/>
    <mergeCell ref="M17:O17"/>
    <mergeCell ref="B54:H54"/>
    <mergeCell ref="I54:Q54"/>
    <mergeCell ref="B55:H55"/>
    <mergeCell ref="I55:Q55"/>
    <mergeCell ref="B56:H56"/>
    <mergeCell ref="I56:Q56"/>
    <mergeCell ref="S53:Y53"/>
    <mergeCell ref="S56:Y56"/>
    <mergeCell ref="C31:L31"/>
    <mergeCell ref="B34:C35"/>
    <mergeCell ref="P31:S31"/>
    <mergeCell ref="T31:W31"/>
    <mergeCell ref="X31:Z31"/>
    <mergeCell ref="M31:O31"/>
    <mergeCell ref="D34:AZ35"/>
    <mergeCell ref="B44:H44"/>
    <mergeCell ref="B45:H45"/>
    <mergeCell ref="B46:H46"/>
    <mergeCell ref="B47:H47"/>
    <mergeCell ref="B48:H48"/>
    <mergeCell ref="AS49:AZ49"/>
    <mergeCell ref="AS50:AZ50"/>
    <mergeCell ref="AS51:AZ51"/>
    <mergeCell ref="AS52:AZ52"/>
    <mergeCell ref="V79:Z79"/>
    <mergeCell ref="V80:Z80"/>
    <mergeCell ref="V81:Z81"/>
    <mergeCell ref="AI80:AM80"/>
    <mergeCell ref="AI81:AM81"/>
    <mergeCell ref="AB79:AH79"/>
    <mergeCell ref="B6:C7"/>
    <mergeCell ref="I9:L10"/>
    <mergeCell ref="M9:O10"/>
    <mergeCell ref="P9:S10"/>
    <mergeCell ref="T9:W10"/>
    <mergeCell ref="T12:W12"/>
    <mergeCell ref="T13:W13"/>
    <mergeCell ref="C15:H15"/>
    <mergeCell ref="I20:L20"/>
    <mergeCell ref="T14:W14"/>
    <mergeCell ref="T15:W15"/>
    <mergeCell ref="T16:W16"/>
    <mergeCell ref="T18:W18"/>
    <mergeCell ref="T19:W19"/>
    <mergeCell ref="P26:S26"/>
    <mergeCell ref="T26:W26"/>
    <mergeCell ref="B53:H53"/>
    <mergeCell ref="I53:Q53"/>
    <mergeCell ref="B81:H81"/>
    <mergeCell ref="O78:U78"/>
    <mergeCell ref="O79:U79"/>
    <mergeCell ref="O80:U80"/>
    <mergeCell ref="B87:C88"/>
    <mergeCell ref="D87:M88"/>
    <mergeCell ref="O81:U81"/>
    <mergeCell ref="B78:H78"/>
    <mergeCell ref="B79:H79"/>
    <mergeCell ref="B80:H80"/>
    <mergeCell ref="AV6:AZ7"/>
    <mergeCell ref="D6:AR7"/>
    <mergeCell ref="B72:H72"/>
    <mergeCell ref="B73:H73"/>
    <mergeCell ref="B74:H74"/>
    <mergeCell ref="B66:H66"/>
    <mergeCell ref="B67:H67"/>
    <mergeCell ref="B68:H68"/>
    <mergeCell ref="B69:H69"/>
    <mergeCell ref="I64:M64"/>
    <mergeCell ref="I65:M65"/>
    <mergeCell ref="I66:M66"/>
    <mergeCell ref="I67:M67"/>
    <mergeCell ref="I68:M68"/>
    <mergeCell ref="I69:M69"/>
    <mergeCell ref="B65:H65"/>
    <mergeCell ref="B64:H64"/>
    <mergeCell ref="V73:Z73"/>
    <mergeCell ref="O68:U68"/>
    <mergeCell ref="O74:U74"/>
    <mergeCell ref="X9:Z10"/>
    <mergeCell ref="B71:H71"/>
    <mergeCell ref="V71:Z71"/>
    <mergeCell ref="V72:Z72"/>
    <mergeCell ref="A3:AR5"/>
    <mergeCell ref="B115:C116"/>
    <mergeCell ref="B117:J117"/>
    <mergeCell ref="K117:R117"/>
    <mergeCell ref="B118:J118"/>
    <mergeCell ref="K118:R118"/>
    <mergeCell ref="AO71:AU71"/>
    <mergeCell ref="AO72:AU72"/>
    <mergeCell ref="AO76:AU76"/>
    <mergeCell ref="AO74:AU74"/>
    <mergeCell ref="AB76:AH76"/>
    <mergeCell ref="I71:M71"/>
    <mergeCell ref="I72:M72"/>
    <mergeCell ref="I73:M73"/>
    <mergeCell ref="I74:M74"/>
    <mergeCell ref="I76:M76"/>
    <mergeCell ref="O76:U76"/>
    <mergeCell ref="O71:U71"/>
    <mergeCell ref="O72:U72"/>
    <mergeCell ref="O73:U73"/>
    <mergeCell ref="I70:M70"/>
    <mergeCell ref="Z56:AH56"/>
    <mergeCell ref="O62:P63"/>
    <mergeCell ref="AS6:AU7"/>
    <mergeCell ref="AF40:AH41"/>
    <mergeCell ref="U40:AE41"/>
    <mergeCell ref="AF39:AH39"/>
    <mergeCell ref="B75:H75"/>
    <mergeCell ref="O75:U75"/>
    <mergeCell ref="I75:M75"/>
    <mergeCell ref="V75:Z75"/>
    <mergeCell ref="AB75:AH75"/>
    <mergeCell ref="B119:J119"/>
    <mergeCell ref="K119:R119"/>
    <mergeCell ref="O66:U66"/>
    <mergeCell ref="V66:Z66"/>
    <mergeCell ref="B89:B90"/>
    <mergeCell ref="C94:M94"/>
    <mergeCell ref="C95:M95"/>
    <mergeCell ref="B76:H76"/>
    <mergeCell ref="Z55:AH55"/>
    <mergeCell ref="B59:C60"/>
    <mergeCell ref="B62:C63"/>
    <mergeCell ref="B50:H50"/>
    <mergeCell ref="B51:H51"/>
    <mergeCell ref="B49:H49"/>
    <mergeCell ref="D59:AZ60"/>
    <mergeCell ref="AS45:AZ45"/>
    <mergeCell ref="B112:AU113"/>
    <mergeCell ref="B111:AI111"/>
    <mergeCell ref="O70:U70"/>
    <mergeCell ref="V70:Z70"/>
    <mergeCell ref="L62:M63"/>
    <mergeCell ref="D62:K63"/>
    <mergeCell ref="C134:V137"/>
    <mergeCell ref="B120:J120"/>
    <mergeCell ref="K120:R120"/>
    <mergeCell ref="B121:J121"/>
    <mergeCell ref="K121:R121"/>
    <mergeCell ref="B122:J122"/>
    <mergeCell ref="K122:R122"/>
    <mergeCell ref="B123:J123"/>
    <mergeCell ref="K123:R123"/>
    <mergeCell ref="I79:M79"/>
    <mergeCell ref="I80:M80"/>
    <mergeCell ref="I81:M81"/>
    <mergeCell ref="AO81:AU81"/>
    <mergeCell ref="AO78:AU78"/>
    <mergeCell ref="AO79:AU79"/>
    <mergeCell ref="AO80:AU80"/>
    <mergeCell ref="AB81:AH81"/>
    <mergeCell ref="AB78:AH78"/>
  </mergeCells>
  <conditionalFormatting sqref="I65:M65">
    <cfRule type="expression" dxfId="8" priority="7">
      <formula>$I$49="IRD"</formula>
    </cfRule>
  </conditionalFormatting>
  <conditionalFormatting sqref="L62 N62:N63">
    <cfRule type="expression" dxfId="7" priority="1">
      <formula>$AE$39</formula>
    </cfRule>
  </conditionalFormatting>
  <conditionalFormatting sqref="O64:Z68">
    <cfRule type="expression" dxfId="6" priority="3">
      <formula>NOT($AE$39)</formula>
    </cfRule>
  </conditionalFormatting>
  <conditionalFormatting sqref="S42:AH51 V69">
    <cfRule type="expression" dxfId="5" priority="16">
      <formula>NOT($AE$39)</formula>
    </cfRule>
  </conditionalFormatting>
  <conditionalFormatting sqref="V66:Z67">
    <cfRule type="expression" dxfId="4" priority="2">
      <formula>$Z$49="IRD"</formula>
    </cfRule>
  </conditionalFormatting>
  <conditionalFormatting sqref="AA11:AD30">
    <cfRule type="cellIs" dxfId="3" priority="13" operator="lessThan">
      <formula>0</formula>
    </cfRule>
  </conditionalFormatting>
  <conditionalFormatting sqref="AE11:AG30">
    <cfRule type="cellIs" dxfId="2" priority="12" operator="greaterThanOrEqual">
      <formula>1</formula>
    </cfRule>
  </conditionalFormatting>
  <conditionalFormatting sqref="AF40:AH41">
    <cfRule type="expression" dxfId="1" priority="8">
      <formula>$AE$39</formula>
    </cfRule>
  </conditionalFormatting>
  <conditionalFormatting sqref="AJ11:AL30">
    <cfRule type="expression" dxfId="0" priority="11">
      <formula>NOT(OR(ISBLANK($AJ11),$AJ11="Current"))</formula>
    </cfRule>
  </conditionalFormatting>
  <dataValidations count="8">
    <dataValidation type="list" allowBlank="1" showInputMessage="1" showErrorMessage="1" sqref="I11:L30" xr:uid="{00000000-0002-0000-0200-000000000000}">
      <formula1>Type_of_Credit</formula1>
    </dataValidation>
    <dataValidation type="list" allowBlank="1" showInputMessage="1" showErrorMessage="1" sqref="I73:M73 I46:Q46 Z46:AH46" xr:uid="{00000000-0002-0000-0200-000001000000}">
      <formula1>Amortization</formula1>
    </dataValidation>
    <dataValidation type="list" allowBlank="1" showInputMessage="1" showErrorMessage="1" sqref="Z51:AH51 I51:Q51" xr:uid="{00000000-0002-0000-0200-000002000000}">
      <formula1>"Yes,No"</formula1>
    </dataValidation>
    <dataValidation type="list" allowBlank="1" showInputMessage="1" showErrorMessage="1" sqref="AH11:AI30" xr:uid="{00000000-0002-0000-0200-000003000000}">
      <formula1>"Open,Closed"</formula1>
    </dataValidation>
    <dataValidation type="list" allowBlank="1" showInputMessage="1" showErrorMessage="1" sqref="Z47:AH47 I47:Q47 I74:M74 V74:Z74" xr:uid="{00000000-0002-0000-0200-000004000000}">
      <formula1>Mortgage_Term</formula1>
    </dataValidation>
    <dataValidation type="list" allowBlank="1" showInputMessage="1" showErrorMessage="1" sqref="I49:Q49 Z49:AH49" xr:uid="{00000000-0002-0000-0200-000005000000}">
      <formula1>Prepayment</formula1>
    </dataValidation>
    <dataValidation type="list" allowBlank="1" showInputMessage="1" sqref="AP11:AZ30" xr:uid="{00000000-0002-0000-0200-000006000000}">
      <formula1>Payout_Recommendation</formula1>
    </dataValidation>
    <dataValidation type="list" allowBlank="1" showInputMessage="1" showErrorMessage="1" sqref="AJ11:AL30" xr:uid="{00000000-0002-0000-0200-000007000000}">
      <formula1>Arrears</formula1>
    </dataValidation>
  </dataValidations>
  <pageMargins left="0.70866141732283472" right="0.70866141732283472" top="0" bottom="0.74803149606299213" header="0" footer="0.31496062992125984"/>
  <pageSetup scale="50" fitToHeight="0" orientation="portrait" r:id="rId1"/>
  <rowBreaks count="1" manualBreakCount="1">
    <brk id="82" max="16383" man="1"/>
  </rowBreaks>
  <ignoredErrors>
    <ignoredError sqref="B34 B59 B84 Z128 B6 B128" numberStoredAsText="1"/>
    <ignoredError sqref="B12"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defaultSize="0" autoFill="0" autoLine="0" autoPict="0">
                <anchor moveWithCells="1">
                  <from>
                    <xdr:col>31</xdr:col>
                    <xdr:colOff>9525</xdr:colOff>
                    <xdr:row>37</xdr:row>
                    <xdr:rowOff>161925</xdr:rowOff>
                  </from>
                  <to>
                    <xdr:col>33</xdr:col>
                    <xdr:colOff>209550</xdr:colOff>
                    <xdr:row>39</xdr:row>
                    <xdr:rowOff>0</xdr:rowOff>
                  </to>
                </anchor>
              </controlPr>
            </control>
          </mc:Choice>
        </mc:AlternateContent>
        <mc:AlternateContent xmlns:mc="http://schemas.openxmlformats.org/markup-compatibility/2006">
          <mc:Choice Requires="x14">
            <control shapeId="1058" r:id="rId5" name="Check Box 34">
              <controlPr defaultSize="0" autoFill="0" autoLine="0" autoPict="0">
                <anchor moveWithCells="1">
                  <from>
                    <xdr:col>10</xdr:col>
                    <xdr:colOff>57150</xdr:colOff>
                    <xdr:row>60</xdr:row>
                    <xdr:rowOff>0</xdr:rowOff>
                  </from>
                  <to>
                    <xdr:col>13</xdr:col>
                    <xdr:colOff>9525</xdr:colOff>
                    <xdr:row>60</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207"/>
  <sheetViews>
    <sheetView zoomScaleNormal="100" workbookViewId="0">
      <selection activeCell="B5" sqref="B5:R6"/>
    </sheetView>
  </sheetViews>
  <sheetFormatPr defaultColWidth="8.85546875" defaultRowHeight="15" x14ac:dyDescent="0.25"/>
  <cols>
    <col min="1" max="1" width="4.28515625" style="1" customWidth="1"/>
    <col min="2" max="2" width="3.42578125" style="1" customWidth="1"/>
    <col min="3" max="19" width="5.28515625" style="1" customWidth="1"/>
    <col min="20" max="20" width="4.28515625" style="1" customWidth="1"/>
    <col min="21" max="16384" width="8.85546875" style="1"/>
  </cols>
  <sheetData>
    <row r="1" spans="2:19" ht="14.45" customHeight="1" x14ac:dyDescent="0.25">
      <c r="B1" s="139" t="s">
        <v>22</v>
      </c>
      <c r="C1" s="140"/>
      <c r="D1" s="143" t="s">
        <v>21</v>
      </c>
      <c r="E1" s="144"/>
      <c r="F1" s="144"/>
      <c r="G1" s="144"/>
      <c r="H1" s="144"/>
      <c r="I1" s="144"/>
      <c r="J1" s="144"/>
      <c r="K1" s="144"/>
      <c r="L1" s="144"/>
      <c r="M1" s="144"/>
      <c r="N1" s="144"/>
      <c r="O1" s="144"/>
      <c r="P1" s="144"/>
      <c r="Q1" s="144"/>
      <c r="R1" s="145"/>
    </row>
    <row r="2" spans="2:19" ht="15" customHeight="1" thickBot="1" x14ac:dyDescent="0.3">
      <c r="B2" s="141"/>
      <c r="C2" s="142"/>
      <c r="D2" s="146"/>
      <c r="E2" s="147"/>
      <c r="F2" s="147"/>
      <c r="G2" s="147"/>
      <c r="H2" s="147"/>
      <c r="I2" s="147"/>
      <c r="J2" s="147"/>
      <c r="K2" s="147"/>
      <c r="L2" s="147"/>
      <c r="M2" s="147"/>
      <c r="N2" s="147"/>
      <c r="O2" s="147"/>
      <c r="P2" s="147"/>
      <c r="Q2" s="147"/>
      <c r="R2" s="148"/>
    </row>
    <row r="5" spans="2:19" x14ac:dyDescent="0.25">
      <c r="B5" s="572">
        <v>1</v>
      </c>
      <c r="C5" s="574"/>
      <c r="D5" s="575"/>
      <c r="E5" s="575"/>
      <c r="F5" s="575"/>
      <c r="G5" s="575"/>
      <c r="H5" s="575"/>
      <c r="I5" s="575"/>
      <c r="J5" s="575"/>
      <c r="K5" s="575"/>
      <c r="L5" s="575"/>
      <c r="M5" s="575"/>
      <c r="N5" s="575"/>
      <c r="O5" s="575"/>
      <c r="P5" s="575"/>
      <c r="Q5" s="575"/>
      <c r="R5" s="576"/>
    </row>
    <row r="6" spans="2:19" x14ac:dyDescent="0.25">
      <c r="B6" s="573"/>
      <c r="C6" s="577"/>
      <c r="D6" s="578"/>
      <c r="E6" s="578"/>
      <c r="F6" s="578"/>
      <c r="G6" s="578"/>
      <c r="H6" s="578"/>
      <c r="I6" s="578"/>
      <c r="J6" s="578"/>
      <c r="K6" s="578"/>
      <c r="L6" s="578"/>
      <c r="M6" s="578"/>
      <c r="N6" s="578"/>
      <c r="O6" s="578"/>
      <c r="P6" s="578"/>
      <c r="Q6" s="578"/>
      <c r="R6" s="579"/>
    </row>
    <row r="8" spans="2:19" x14ac:dyDescent="0.25">
      <c r="B8" s="75" t="s">
        <v>27</v>
      </c>
    </row>
    <row r="9" spans="2:19" ht="15" customHeight="1" x14ac:dyDescent="0.25">
      <c r="B9" s="77" t="s">
        <v>241</v>
      </c>
      <c r="C9" s="136" t="s">
        <v>28</v>
      </c>
      <c r="D9" s="136"/>
      <c r="E9" s="136"/>
      <c r="F9" s="136"/>
      <c r="G9" s="136"/>
      <c r="H9" s="136"/>
      <c r="I9" s="136"/>
      <c r="J9" s="136"/>
      <c r="K9" s="136"/>
      <c r="L9" s="136"/>
      <c r="M9" s="136"/>
      <c r="N9" s="136"/>
      <c r="O9" s="136"/>
      <c r="P9" s="136"/>
      <c r="Q9" s="136"/>
      <c r="R9" s="136"/>
      <c r="S9" s="136"/>
    </row>
    <row r="10" spans="2:19" x14ac:dyDescent="0.25">
      <c r="C10" s="136"/>
      <c r="D10" s="136"/>
      <c r="E10" s="136"/>
      <c r="F10" s="136"/>
      <c r="G10" s="136"/>
      <c r="H10" s="136"/>
      <c r="I10" s="136"/>
      <c r="J10" s="136"/>
      <c r="K10" s="136"/>
      <c r="L10" s="136"/>
      <c r="M10" s="136"/>
      <c r="N10" s="136"/>
      <c r="O10" s="136"/>
      <c r="P10" s="136"/>
      <c r="Q10" s="136"/>
      <c r="R10" s="136"/>
      <c r="S10" s="136"/>
    </row>
    <row r="11" spans="2:19" x14ac:dyDescent="0.25">
      <c r="B11" s="77" t="s">
        <v>241</v>
      </c>
      <c r="C11" s="9" t="s">
        <v>139</v>
      </c>
      <c r="D11" s="7"/>
      <c r="E11" s="7"/>
      <c r="F11" s="7"/>
      <c r="G11" s="7"/>
      <c r="H11" s="7"/>
      <c r="I11" s="7"/>
      <c r="J11" s="7"/>
      <c r="K11" s="7"/>
      <c r="L11" s="7"/>
      <c r="M11" s="7"/>
      <c r="N11" s="7"/>
      <c r="O11" s="7"/>
      <c r="P11" s="7"/>
      <c r="Q11" s="7"/>
      <c r="R11" s="7"/>
      <c r="S11" s="7"/>
    </row>
    <row r="12" spans="2:19" x14ac:dyDescent="0.25">
      <c r="C12" s="72" t="s">
        <v>291</v>
      </c>
      <c r="D12" s="73"/>
      <c r="E12" s="73"/>
      <c r="F12" s="73"/>
      <c r="G12" s="73"/>
      <c r="H12" s="73"/>
      <c r="I12" s="73"/>
      <c r="J12" s="73"/>
      <c r="K12" s="73"/>
      <c r="L12" s="73"/>
      <c r="M12" s="73"/>
      <c r="N12" s="73"/>
      <c r="O12" s="73"/>
      <c r="P12" s="73"/>
      <c r="Q12" s="73"/>
      <c r="R12" s="73"/>
      <c r="S12" s="74"/>
    </row>
    <row r="13" spans="2:19" x14ac:dyDescent="0.25">
      <c r="C13" s="72" t="s">
        <v>292</v>
      </c>
      <c r="D13" s="73"/>
      <c r="E13" s="73"/>
      <c r="F13" s="73"/>
      <c r="G13" s="73"/>
      <c r="H13" s="73"/>
      <c r="I13" s="73"/>
      <c r="J13" s="73"/>
      <c r="K13" s="73"/>
      <c r="L13" s="73"/>
      <c r="M13" s="73"/>
      <c r="N13" s="73"/>
      <c r="O13" s="73"/>
      <c r="P13" s="73"/>
      <c r="Q13" s="73"/>
      <c r="R13" s="73"/>
      <c r="S13" s="74"/>
    </row>
    <row r="14" spans="2:19" x14ac:dyDescent="0.25">
      <c r="C14" s="72" t="s">
        <v>293</v>
      </c>
      <c r="D14" s="73"/>
      <c r="E14" s="73"/>
      <c r="F14" s="73"/>
      <c r="G14" s="73"/>
      <c r="H14" s="73"/>
      <c r="I14" s="73"/>
      <c r="J14" s="73"/>
      <c r="K14" s="73"/>
      <c r="L14" s="73"/>
      <c r="M14" s="73"/>
      <c r="N14" s="73"/>
      <c r="O14" s="73"/>
      <c r="P14" s="73"/>
      <c r="Q14" s="73"/>
      <c r="R14" s="73"/>
      <c r="S14" s="74"/>
    </row>
    <row r="15" spans="2:19" x14ac:dyDescent="0.25">
      <c r="C15" s="72" t="s">
        <v>294</v>
      </c>
      <c r="D15" s="73"/>
      <c r="E15" s="73"/>
      <c r="F15" s="73"/>
      <c r="G15" s="73"/>
      <c r="H15" s="73"/>
      <c r="I15" s="73"/>
      <c r="J15" s="73"/>
      <c r="K15" s="73"/>
      <c r="L15" s="73"/>
      <c r="M15" s="73"/>
      <c r="N15" s="73"/>
      <c r="O15" s="73"/>
      <c r="P15" s="73"/>
      <c r="Q15" s="73"/>
      <c r="R15" s="73"/>
      <c r="S15" s="74"/>
    </row>
    <row r="16" spans="2:19" x14ac:dyDescent="0.25">
      <c r="C16" s="72" t="s">
        <v>295</v>
      </c>
      <c r="D16" s="73"/>
      <c r="E16" s="73"/>
      <c r="F16" s="73"/>
      <c r="G16" s="73"/>
      <c r="H16" s="73"/>
      <c r="I16" s="73"/>
      <c r="J16" s="73"/>
      <c r="K16" s="73"/>
      <c r="L16" s="73"/>
      <c r="M16" s="73"/>
      <c r="N16" s="73"/>
      <c r="O16" s="73"/>
      <c r="P16" s="73"/>
      <c r="Q16" s="73"/>
      <c r="R16" s="73"/>
      <c r="S16" s="74"/>
    </row>
    <row r="17" spans="2:21" x14ac:dyDescent="0.25">
      <c r="C17" s="72" t="s">
        <v>296</v>
      </c>
      <c r="D17" s="73"/>
      <c r="E17" s="73"/>
      <c r="F17" s="73"/>
      <c r="G17" s="73"/>
      <c r="H17" s="73"/>
      <c r="I17" s="73"/>
      <c r="J17" s="73"/>
      <c r="K17" s="73"/>
      <c r="L17" s="73"/>
      <c r="M17" s="73"/>
      <c r="N17" s="73"/>
      <c r="O17" s="73"/>
      <c r="P17" s="73"/>
      <c r="Q17" s="73"/>
      <c r="R17" s="73"/>
      <c r="S17" s="74"/>
    </row>
    <row r="18" spans="2:21" x14ac:dyDescent="0.25">
      <c r="C18" s="72" t="s">
        <v>297</v>
      </c>
      <c r="D18" s="73"/>
      <c r="E18" s="73"/>
      <c r="F18" s="73"/>
      <c r="G18" s="73"/>
      <c r="H18" s="73"/>
      <c r="I18" s="73"/>
      <c r="J18" s="73"/>
      <c r="K18" s="73"/>
      <c r="L18" s="73"/>
      <c r="M18" s="73"/>
      <c r="N18" s="73"/>
      <c r="O18" s="73"/>
      <c r="P18" s="73"/>
      <c r="Q18" s="73"/>
      <c r="R18" s="73"/>
      <c r="S18" s="74"/>
    </row>
    <row r="19" spans="2:21" x14ac:dyDescent="0.25">
      <c r="C19" s="72" t="s">
        <v>298</v>
      </c>
      <c r="D19" s="73"/>
      <c r="E19" s="73"/>
      <c r="F19" s="73"/>
      <c r="G19" s="73"/>
      <c r="H19" s="73"/>
      <c r="I19" s="73"/>
      <c r="J19" s="73"/>
      <c r="K19" s="73"/>
      <c r="L19" s="73"/>
      <c r="M19" s="73"/>
      <c r="N19" s="73"/>
      <c r="O19" s="73"/>
      <c r="P19" s="73"/>
      <c r="Q19" s="73"/>
      <c r="R19" s="73"/>
      <c r="S19" s="74"/>
    </row>
    <row r="20" spans="2:21" x14ac:dyDescent="0.25">
      <c r="C20" s="565" t="s">
        <v>299</v>
      </c>
      <c r="D20" s="565"/>
      <c r="E20" s="565"/>
      <c r="F20" s="565"/>
      <c r="G20" s="565"/>
      <c r="H20" s="565"/>
      <c r="I20" s="565"/>
      <c r="J20" s="565"/>
      <c r="K20" s="565"/>
      <c r="L20" s="565"/>
      <c r="M20" s="565"/>
      <c r="N20" s="565"/>
      <c r="O20" s="565"/>
      <c r="P20" s="565"/>
      <c r="Q20" s="565"/>
      <c r="R20" s="565"/>
      <c r="S20" s="565"/>
    </row>
    <row r="21" spans="2:21" x14ac:dyDescent="0.25">
      <c r="C21" s="565"/>
      <c r="D21" s="565"/>
      <c r="E21" s="565"/>
      <c r="F21" s="565"/>
      <c r="G21" s="565"/>
      <c r="H21" s="565"/>
      <c r="I21" s="565"/>
      <c r="J21" s="565"/>
      <c r="K21" s="565"/>
      <c r="L21" s="565"/>
      <c r="M21" s="565"/>
      <c r="N21" s="565"/>
      <c r="O21" s="565"/>
      <c r="P21" s="565"/>
      <c r="Q21" s="565"/>
      <c r="R21" s="565"/>
      <c r="S21" s="565"/>
    </row>
    <row r="22" spans="2:21" x14ac:dyDescent="0.25">
      <c r="C22" s="10"/>
      <c r="D22" s="7"/>
      <c r="E22" s="7"/>
      <c r="F22" s="7"/>
      <c r="G22" s="7"/>
      <c r="H22" s="7"/>
      <c r="I22" s="7"/>
      <c r="J22" s="7"/>
      <c r="K22" s="7"/>
      <c r="L22" s="7"/>
      <c r="M22" s="7"/>
      <c r="N22" s="7"/>
      <c r="O22" s="7"/>
      <c r="P22" s="7"/>
      <c r="Q22" s="7"/>
      <c r="R22" s="7"/>
      <c r="S22" s="7"/>
    </row>
    <row r="23" spans="2:21" x14ac:dyDescent="0.25">
      <c r="B23" s="75" t="s">
        <v>29</v>
      </c>
      <c r="C23" s="9"/>
    </row>
    <row r="24" spans="2:21" ht="15" customHeight="1" x14ac:dyDescent="0.25">
      <c r="B24" s="77" t="s">
        <v>241</v>
      </c>
      <c r="C24" s="567" t="s">
        <v>140</v>
      </c>
      <c r="D24" s="567"/>
      <c r="E24" s="567"/>
      <c r="F24" s="567"/>
      <c r="G24" s="567"/>
      <c r="H24" s="567"/>
      <c r="I24" s="567"/>
      <c r="J24" s="567"/>
      <c r="K24" s="567"/>
      <c r="L24" s="567"/>
      <c r="M24" s="567"/>
      <c r="N24" s="567"/>
      <c r="O24" s="567"/>
      <c r="P24" s="567"/>
      <c r="Q24" s="567"/>
      <c r="R24" s="567"/>
      <c r="S24" s="567"/>
    </row>
    <row r="25" spans="2:21" ht="15" customHeight="1" x14ac:dyDescent="0.25">
      <c r="B25" s="76"/>
      <c r="C25" s="567"/>
      <c r="D25" s="567"/>
      <c r="E25" s="567"/>
      <c r="F25" s="567"/>
      <c r="G25" s="567"/>
      <c r="H25" s="567"/>
      <c r="I25" s="567"/>
      <c r="J25" s="567"/>
      <c r="K25" s="567"/>
      <c r="L25" s="567"/>
      <c r="M25" s="567"/>
      <c r="N25" s="567"/>
      <c r="O25" s="567"/>
      <c r="P25" s="567"/>
      <c r="Q25" s="567"/>
      <c r="R25" s="567"/>
      <c r="S25" s="567"/>
    </row>
    <row r="26" spans="2:21" x14ac:dyDescent="0.25">
      <c r="B26" s="76"/>
      <c r="C26" s="567"/>
      <c r="D26" s="567"/>
      <c r="E26" s="567"/>
      <c r="F26" s="567"/>
      <c r="G26" s="567"/>
      <c r="H26" s="567"/>
      <c r="I26" s="567"/>
      <c r="J26" s="567"/>
      <c r="K26" s="567"/>
      <c r="L26" s="567"/>
      <c r="M26" s="567"/>
      <c r="N26" s="567"/>
      <c r="O26" s="567"/>
      <c r="P26" s="567"/>
      <c r="Q26" s="567"/>
      <c r="R26" s="567"/>
      <c r="S26" s="567"/>
    </row>
    <row r="27" spans="2:21" x14ac:dyDescent="0.25">
      <c r="B27" s="77" t="s">
        <v>241</v>
      </c>
      <c r="C27" s="568" t="s">
        <v>30</v>
      </c>
      <c r="D27" s="182"/>
      <c r="E27" s="182"/>
      <c r="F27" s="182"/>
      <c r="G27" s="182"/>
      <c r="H27" s="182"/>
      <c r="I27" s="182"/>
      <c r="J27" s="182"/>
      <c r="K27" s="182"/>
      <c r="L27" s="182"/>
      <c r="M27" s="182"/>
      <c r="N27" s="182"/>
      <c r="O27" s="182"/>
      <c r="P27" s="182"/>
      <c r="Q27" s="182"/>
      <c r="R27" s="182"/>
      <c r="S27" s="182"/>
    </row>
    <row r="28" spans="2:21" ht="15" customHeight="1" x14ac:dyDescent="0.25">
      <c r="B28" s="77" t="s">
        <v>241</v>
      </c>
      <c r="C28" s="136" t="s">
        <v>134</v>
      </c>
      <c r="D28" s="136"/>
      <c r="E28" s="136"/>
      <c r="F28" s="136"/>
      <c r="G28" s="136"/>
      <c r="H28" s="136"/>
      <c r="I28" s="136"/>
      <c r="J28" s="136"/>
      <c r="K28" s="136"/>
      <c r="L28" s="136"/>
      <c r="M28" s="136"/>
      <c r="N28" s="136"/>
      <c r="O28" s="136"/>
      <c r="P28" s="136"/>
      <c r="Q28" s="136"/>
      <c r="R28" s="136"/>
      <c r="S28" s="136"/>
      <c r="U28" s="7"/>
    </row>
    <row r="29" spans="2:21" ht="15" customHeight="1" x14ac:dyDescent="0.25">
      <c r="B29" s="76"/>
      <c r="C29" s="136"/>
      <c r="D29" s="136"/>
      <c r="E29" s="136"/>
      <c r="F29" s="136"/>
      <c r="G29" s="136"/>
      <c r="H29" s="136"/>
      <c r="I29" s="136"/>
      <c r="J29" s="136"/>
      <c r="K29" s="136"/>
      <c r="L29" s="136"/>
      <c r="M29" s="136"/>
      <c r="N29" s="136"/>
      <c r="O29" s="136"/>
      <c r="P29" s="136"/>
      <c r="Q29" s="136"/>
      <c r="R29" s="136"/>
      <c r="S29" s="136"/>
      <c r="U29" s="7"/>
    </row>
    <row r="30" spans="2:21" ht="15" customHeight="1" x14ac:dyDescent="0.25">
      <c r="B30" s="76"/>
      <c r="C30" s="136"/>
      <c r="D30" s="136"/>
      <c r="E30" s="136"/>
      <c r="F30" s="136"/>
      <c r="G30" s="136"/>
      <c r="H30" s="136"/>
      <c r="I30" s="136"/>
      <c r="J30" s="136"/>
      <c r="K30" s="136"/>
      <c r="L30" s="136"/>
      <c r="M30" s="136"/>
      <c r="N30" s="136"/>
      <c r="O30" s="136"/>
      <c r="P30" s="136"/>
      <c r="Q30" s="136"/>
      <c r="R30" s="136"/>
      <c r="S30" s="136"/>
      <c r="U30" s="7"/>
    </row>
    <row r="31" spans="2:21" x14ac:dyDescent="0.25">
      <c r="B31" s="76"/>
      <c r="C31" s="136"/>
      <c r="D31" s="136"/>
      <c r="E31" s="136"/>
      <c r="F31" s="136"/>
      <c r="G31" s="136"/>
      <c r="H31" s="136"/>
      <c r="I31" s="136"/>
      <c r="J31" s="136"/>
      <c r="K31" s="136"/>
      <c r="L31" s="136"/>
      <c r="M31" s="136"/>
      <c r="N31" s="136"/>
      <c r="O31" s="136"/>
      <c r="P31" s="136"/>
      <c r="Q31" s="136"/>
      <c r="R31" s="136"/>
      <c r="S31" s="136"/>
      <c r="U31" s="7"/>
    </row>
    <row r="32" spans="2:21" ht="15" customHeight="1" x14ac:dyDescent="0.25">
      <c r="B32" s="77" t="s">
        <v>241</v>
      </c>
      <c r="C32" s="136" t="s">
        <v>272</v>
      </c>
      <c r="D32" s="136"/>
      <c r="E32" s="136"/>
      <c r="F32" s="136"/>
      <c r="G32" s="136"/>
      <c r="H32" s="136"/>
      <c r="I32" s="136"/>
      <c r="J32" s="136"/>
      <c r="K32" s="136"/>
      <c r="L32" s="136"/>
      <c r="M32" s="136"/>
      <c r="N32" s="136"/>
      <c r="O32" s="136"/>
      <c r="P32" s="136"/>
      <c r="Q32" s="136"/>
      <c r="R32" s="136"/>
      <c r="S32" s="136"/>
    </row>
    <row r="33" spans="2:19" ht="15" customHeight="1" x14ac:dyDescent="0.25">
      <c r="B33" s="76"/>
      <c r="C33" s="136"/>
      <c r="D33" s="136"/>
      <c r="E33" s="136"/>
      <c r="F33" s="136"/>
      <c r="G33" s="136"/>
      <c r="H33" s="136"/>
      <c r="I33" s="136"/>
      <c r="J33" s="136"/>
      <c r="K33" s="136"/>
      <c r="L33" s="136"/>
      <c r="M33" s="136"/>
      <c r="N33" s="136"/>
      <c r="O33" s="136"/>
      <c r="P33" s="136"/>
      <c r="Q33" s="136"/>
      <c r="R33" s="136"/>
      <c r="S33" s="136"/>
    </row>
    <row r="34" spans="2:19" ht="15" customHeight="1" x14ac:dyDescent="0.25">
      <c r="B34" s="76"/>
      <c r="C34" s="136"/>
      <c r="D34" s="136"/>
      <c r="E34" s="136"/>
      <c r="F34" s="136"/>
      <c r="G34" s="136"/>
      <c r="H34" s="136"/>
      <c r="I34" s="136"/>
      <c r="J34" s="136"/>
      <c r="K34" s="136"/>
      <c r="L34" s="136"/>
      <c r="M34" s="136"/>
      <c r="N34" s="136"/>
      <c r="O34" s="136"/>
      <c r="P34" s="136"/>
      <c r="Q34" s="136"/>
      <c r="R34" s="136"/>
      <c r="S34" s="136"/>
    </row>
    <row r="35" spans="2:19" x14ac:dyDescent="0.25">
      <c r="B35" s="76"/>
      <c r="C35" s="136"/>
      <c r="D35" s="136"/>
      <c r="E35" s="136"/>
      <c r="F35" s="136"/>
      <c r="G35" s="136"/>
      <c r="H35" s="136"/>
      <c r="I35" s="136"/>
      <c r="J35" s="136"/>
      <c r="K35" s="136"/>
      <c r="L35" s="136"/>
      <c r="M35" s="136"/>
      <c r="N35" s="136"/>
      <c r="O35" s="136"/>
      <c r="P35" s="136"/>
      <c r="Q35" s="136"/>
      <c r="R35" s="136"/>
      <c r="S35" s="136"/>
    </row>
    <row r="36" spans="2:19" ht="15" customHeight="1" x14ac:dyDescent="0.25">
      <c r="B36" s="77" t="s">
        <v>241</v>
      </c>
      <c r="C36" s="136" t="s">
        <v>135</v>
      </c>
      <c r="D36" s="136"/>
      <c r="E36" s="136"/>
      <c r="F36" s="136"/>
      <c r="G36" s="136"/>
      <c r="H36" s="136"/>
      <c r="I36" s="136"/>
      <c r="J36" s="136"/>
      <c r="K36" s="136"/>
      <c r="L36" s="136"/>
      <c r="M36" s="136"/>
      <c r="N36" s="136"/>
      <c r="O36" s="136"/>
      <c r="P36" s="136"/>
      <c r="Q36" s="136"/>
      <c r="R36" s="136"/>
      <c r="S36" s="136"/>
    </row>
    <row r="37" spans="2:19" x14ac:dyDescent="0.25">
      <c r="B37" s="76"/>
      <c r="C37" s="136"/>
      <c r="D37" s="136"/>
      <c r="E37" s="136"/>
      <c r="F37" s="136"/>
      <c r="G37" s="136"/>
      <c r="H37" s="136"/>
      <c r="I37" s="136"/>
      <c r="J37" s="136"/>
      <c r="K37" s="136"/>
      <c r="L37" s="136"/>
      <c r="M37" s="136"/>
      <c r="N37" s="136"/>
      <c r="O37" s="136"/>
      <c r="P37" s="136"/>
      <c r="Q37" s="136"/>
      <c r="R37" s="136"/>
      <c r="S37" s="136"/>
    </row>
    <row r="39" spans="2:19" x14ac:dyDescent="0.25">
      <c r="B39" s="75" t="s">
        <v>153</v>
      </c>
    </row>
    <row r="40" spans="2:19" x14ac:dyDescent="0.25">
      <c r="B40" s="77" t="s">
        <v>241</v>
      </c>
      <c r="C40" s="567" t="s">
        <v>141</v>
      </c>
      <c r="D40" s="567"/>
      <c r="E40" s="567"/>
      <c r="F40" s="567"/>
      <c r="G40" s="567"/>
      <c r="H40" s="567"/>
      <c r="I40" s="567"/>
      <c r="J40" s="567"/>
      <c r="K40" s="567"/>
      <c r="L40" s="567"/>
      <c r="M40" s="567"/>
      <c r="N40" s="567"/>
      <c r="O40" s="567"/>
      <c r="P40" s="567"/>
      <c r="Q40" s="567"/>
      <c r="R40" s="567"/>
      <c r="S40" s="567"/>
    </row>
    <row r="41" spans="2:19" x14ac:dyDescent="0.25">
      <c r="B41" s="77"/>
      <c r="C41" s="567"/>
      <c r="D41" s="567"/>
      <c r="E41" s="567"/>
      <c r="F41" s="567"/>
      <c r="G41" s="567"/>
      <c r="H41" s="567"/>
      <c r="I41" s="567"/>
      <c r="J41" s="567"/>
      <c r="K41" s="567"/>
      <c r="L41" s="567"/>
      <c r="M41" s="567"/>
      <c r="N41" s="567"/>
      <c r="O41" s="567"/>
      <c r="P41" s="567"/>
      <c r="Q41" s="567"/>
      <c r="R41" s="567"/>
      <c r="S41" s="567"/>
    </row>
    <row r="42" spans="2:19" x14ac:dyDescent="0.25">
      <c r="B42" s="77"/>
      <c r="C42" s="567"/>
      <c r="D42" s="567"/>
      <c r="E42" s="567"/>
      <c r="F42" s="567"/>
      <c r="G42" s="567"/>
      <c r="H42" s="567"/>
      <c r="I42" s="567"/>
      <c r="J42" s="567"/>
      <c r="K42" s="567"/>
      <c r="L42" s="567"/>
      <c r="M42" s="567"/>
      <c r="N42" s="567"/>
      <c r="O42" s="567"/>
      <c r="P42" s="567"/>
      <c r="Q42" s="567"/>
      <c r="R42" s="567"/>
      <c r="S42" s="567"/>
    </row>
    <row r="43" spans="2:19" x14ac:dyDescent="0.25">
      <c r="B43" s="77" t="s">
        <v>241</v>
      </c>
      <c r="C43" s="568" t="s">
        <v>31</v>
      </c>
      <c r="D43" s="182"/>
      <c r="E43" s="182"/>
      <c r="F43" s="182"/>
      <c r="G43" s="182"/>
      <c r="H43" s="182"/>
      <c r="I43" s="182"/>
      <c r="J43" s="182"/>
      <c r="K43" s="182"/>
      <c r="L43" s="182"/>
      <c r="M43" s="182"/>
      <c r="N43" s="182"/>
      <c r="O43" s="182"/>
      <c r="P43" s="182"/>
      <c r="Q43" s="182"/>
      <c r="R43" s="182"/>
      <c r="S43" s="182"/>
    </row>
    <row r="44" spans="2:19" x14ac:dyDescent="0.25">
      <c r="B44" s="77" t="s">
        <v>241</v>
      </c>
      <c r="C44" s="568" t="s">
        <v>154</v>
      </c>
      <c r="D44" s="182"/>
      <c r="E44" s="182"/>
      <c r="F44" s="182"/>
      <c r="G44" s="182"/>
      <c r="H44" s="182"/>
      <c r="I44" s="182"/>
      <c r="J44" s="182"/>
      <c r="K44" s="182"/>
      <c r="L44" s="182"/>
      <c r="M44" s="182"/>
      <c r="N44" s="182"/>
      <c r="O44" s="182"/>
      <c r="P44" s="182"/>
      <c r="Q44" s="182"/>
      <c r="R44" s="182"/>
      <c r="S44" s="182"/>
    </row>
    <row r="45" spans="2:19" x14ac:dyDescent="0.25">
      <c r="B45" s="77" t="s">
        <v>241</v>
      </c>
      <c r="C45" s="568" t="s">
        <v>32</v>
      </c>
      <c r="D45" s="182"/>
      <c r="E45" s="182"/>
      <c r="F45" s="182"/>
      <c r="G45" s="182"/>
      <c r="H45" s="182"/>
      <c r="I45" s="182"/>
      <c r="J45" s="182"/>
      <c r="K45" s="182"/>
      <c r="L45" s="182"/>
      <c r="M45" s="182"/>
      <c r="N45" s="182"/>
      <c r="O45" s="182"/>
      <c r="P45" s="182"/>
      <c r="Q45" s="182"/>
      <c r="R45" s="182"/>
      <c r="S45" s="182"/>
    </row>
    <row r="46" spans="2:19" x14ac:dyDescent="0.25">
      <c r="B46" s="77" t="s">
        <v>241</v>
      </c>
      <c r="C46" s="568" t="s">
        <v>33</v>
      </c>
      <c r="D46" s="182"/>
      <c r="E46" s="182"/>
      <c r="F46" s="182"/>
      <c r="G46" s="182"/>
      <c r="H46" s="182"/>
      <c r="I46" s="182"/>
      <c r="J46" s="182"/>
      <c r="K46" s="182"/>
      <c r="L46" s="182"/>
      <c r="M46" s="182"/>
      <c r="N46" s="182"/>
      <c r="O46" s="182"/>
      <c r="P46" s="182"/>
      <c r="Q46" s="182"/>
      <c r="R46" s="182"/>
      <c r="S46" s="182"/>
    </row>
    <row r="47" spans="2:19" x14ac:dyDescent="0.25">
      <c r="B47" s="77" t="s">
        <v>241</v>
      </c>
      <c r="C47" s="568" t="s">
        <v>155</v>
      </c>
      <c r="D47" s="182"/>
      <c r="E47" s="182"/>
      <c r="F47" s="182"/>
      <c r="G47" s="182"/>
      <c r="H47" s="182"/>
      <c r="I47" s="182"/>
      <c r="J47" s="182"/>
      <c r="K47" s="182"/>
      <c r="L47" s="182"/>
      <c r="M47" s="182"/>
      <c r="N47" s="182"/>
      <c r="O47" s="182"/>
      <c r="P47" s="182"/>
      <c r="Q47" s="182"/>
      <c r="R47" s="182"/>
      <c r="S47" s="182"/>
    </row>
    <row r="48" spans="2:19" ht="15" customHeight="1" x14ac:dyDescent="0.25">
      <c r="B48" s="77" t="s">
        <v>241</v>
      </c>
      <c r="C48" s="136" t="s">
        <v>136</v>
      </c>
      <c r="D48" s="136"/>
      <c r="E48" s="136"/>
      <c r="F48" s="136"/>
      <c r="G48" s="136"/>
      <c r="H48" s="136"/>
      <c r="I48" s="136"/>
      <c r="J48" s="136"/>
      <c r="K48" s="136"/>
      <c r="L48" s="136"/>
      <c r="M48" s="136"/>
      <c r="N48" s="136"/>
      <c r="O48" s="136"/>
      <c r="P48" s="136"/>
      <c r="Q48" s="136"/>
      <c r="R48" s="136"/>
      <c r="S48" s="136"/>
    </row>
    <row r="49" spans="2:19" x14ac:dyDescent="0.25">
      <c r="B49" s="77"/>
      <c r="C49" s="136"/>
      <c r="D49" s="136"/>
      <c r="E49" s="136"/>
      <c r="F49" s="136"/>
      <c r="G49" s="136"/>
      <c r="H49" s="136"/>
      <c r="I49" s="136"/>
      <c r="J49" s="136"/>
      <c r="K49" s="136"/>
      <c r="L49" s="136"/>
      <c r="M49" s="136"/>
      <c r="N49" s="136"/>
      <c r="O49" s="136"/>
      <c r="P49" s="136"/>
      <c r="Q49" s="136"/>
      <c r="R49" s="136"/>
      <c r="S49" s="136"/>
    </row>
    <row r="50" spans="2:19" x14ac:dyDescent="0.25">
      <c r="B50" s="77" t="s">
        <v>241</v>
      </c>
      <c r="C50" s="568" t="s">
        <v>34</v>
      </c>
      <c r="D50" s="182"/>
      <c r="E50" s="182"/>
      <c r="F50" s="182"/>
      <c r="G50" s="182"/>
      <c r="H50" s="182"/>
      <c r="I50" s="182"/>
      <c r="J50" s="182"/>
      <c r="K50" s="182"/>
      <c r="L50" s="182"/>
      <c r="M50" s="182"/>
      <c r="N50" s="182"/>
      <c r="O50" s="182"/>
      <c r="P50" s="182"/>
      <c r="Q50" s="182"/>
      <c r="R50" s="182"/>
      <c r="S50" s="182"/>
    </row>
    <row r="51" spans="2:19" x14ac:dyDescent="0.25">
      <c r="B51" s="77" t="s">
        <v>241</v>
      </c>
      <c r="C51" s="568" t="s">
        <v>35</v>
      </c>
      <c r="D51" s="182"/>
      <c r="E51" s="182"/>
      <c r="F51" s="182"/>
      <c r="G51" s="182"/>
      <c r="H51" s="182"/>
      <c r="I51" s="182"/>
      <c r="J51" s="182"/>
      <c r="K51" s="182"/>
      <c r="L51" s="182"/>
      <c r="M51" s="182"/>
      <c r="N51" s="182"/>
      <c r="O51" s="182"/>
      <c r="P51" s="182"/>
      <c r="Q51" s="182"/>
      <c r="R51" s="182"/>
      <c r="S51" s="182"/>
    </row>
    <row r="52" spans="2:19" ht="15" customHeight="1" x14ac:dyDescent="0.25">
      <c r="B52" s="77" t="s">
        <v>241</v>
      </c>
      <c r="C52" s="136" t="s">
        <v>156</v>
      </c>
      <c r="D52" s="136"/>
      <c r="E52" s="136"/>
      <c r="F52" s="136"/>
      <c r="G52" s="136"/>
      <c r="H52" s="136"/>
      <c r="I52" s="136"/>
      <c r="J52" s="136"/>
      <c r="K52" s="136"/>
      <c r="L52" s="136"/>
      <c r="M52" s="136"/>
      <c r="N52" s="136"/>
      <c r="O52" s="136"/>
      <c r="P52" s="136"/>
      <c r="Q52" s="136"/>
      <c r="R52" s="136"/>
      <c r="S52" s="136"/>
    </row>
    <row r="53" spans="2:19" x14ac:dyDescent="0.25">
      <c r="B53" s="77"/>
      <c r="C53" s="136"/>
      <c r="D53" s="136"/>
      <c r="E53" s="136"/>
      <c r="F53" s="136"/>
      <c r="G53" s="136"/>
      <c r="H53" s="136"/>
      <c r="I53" s="136"/>
      <c r="J53" s="136"/>
      <c r="K53" s="136"/>
      <c r="L53" s="136"/>
      <c r="M53" s="136"/>
      <c r="N53" s="136"/>
      <c r="O53" s="136"/>
      <c r="P53" s="136"/>
      <c r="Q53" s="136"/>
      <c r="R53" s="136"/>
      <c r="S53" s="136"/>
    </row>
    <row r="54" spans="2:19" ht="15" customHeight="1" x14ac:dyDescent="0.25">
      <c r="B54" s="77" t="s">
        <v>241</v>
      </c>
      <c r="C54" s="136" t="s">
        <v>157</v>
      </c>
      <c r="D54" s="136"/>
      <c r="E54" s="136"/>
      <c r="F54" s="136"/>
      <c r="G54" s="136"/>
      <c r="H54" s="136"/>
      <c r="I54" s="136"/>
      <c r="J54" s="136"/>
      <c r="K54" s="136"/>
      <c r="L54" s="136"/>
      <c r="M54" s="136"/>
      <c r="N54" s="136"/>
      <c r="O54" s="136"/>
      <c r="P54" s="136"/>
      <c r="Q54" s="136"/>
      <c r="R54" s="136"/>
      <c r="S54" s="136"/>
    </row>
    <row r="55" spans="2:19" x14ac:dyDescent="0.25">
      <c r="B55" s="77"/>
      <c r="C55" s="136"/>
      <c r="D55" s="136"/>
      <c r="E55" s="136"/>
      <c r="F55" s="136"/>
      <c r="G55" s="136"/>
      <c r="H55" s="136"/>
      <c r="I55" s="136"/>
      <c r="J55" s="136"/>
      <c r="K55" s="136"/>
      <c r="L55" s="136"/>
      <c r="M55" s="136"/>
      <c r="N55" s="136"/>
      <c r="O55" s="136"/>
      <c r="P55" s="136"/>
      <c r="Q55" s="136"/>
      <c r="R55" s="136"/>
      <c r="S55" s="136"/>
    </row>
    <row r="56" spans="2:19" ht="15" customHeight="1" x14ac:dyDescent="0.25">
      <c r="B56" s="77" t="s">
        <v>241</v>
      </c>
      <c r="C56" s="136" t="s">
        <v>158</v>
      </c>
      <c r="D56" s="136"/>
      <c r="E56" s="136"/>
      <c r="F56" s="136"/>
      <c r="G56" s="136"/>
      <c r="H56" s="136"/>
      <c r="I56" s="136"/>
      <c r="J56" s="136"/>
      <c r="K56" s="136"/>
      <c r="L56" s="136"/>
      <c r="M56" s="136"/>
      <c r="N56" s="136"/>
      <c r="O56" s="136"/>
      <c r="P56" s="136"/>
      <c r="Q56" s="136"/>
      <c r="R56" s="136"/>
      <c r="S56" s="136"/>
    </row>
    <row r="57" spans="2:19" x14ac:dyDescent="0.25">
      <c r="B57" s="77"/>
      <c r="C57" s="136"/>
      <c r="D57" s="136"/>
      <c r="E57" s="136"/>
      <c r="F57" s="136"/>
      <c r="G57" s="136"/>
      <c r="H57" s="136"/>
      <c r="I57" s="136"/>
      <c r="J57" s="136"/>
      <c r="K57" s="136"/>
      <c r="L57" s="136"/>
      <c r="M57" s="136"/>
      <c r="N57" s="136"/>
      <c r="O57" s="136"/>
      <c r="P57" s="136"/>
      <c r="Q57" s="136"/>
      <c r="R57" s="136"/>
      <c r="S57" s="136"/>
    </row>
    <row r="58" spans="2:19" ht="15" customHeight="1" x14ac:dyDescent="0.25">
      <c r="B58" s="77" t="s">
        <v>241</v>
      </c>
      <c r="C58" s="136" t="s">
        <v>159</v>
      </c>
      <c r="D58" s="136"/>
      <c r="E58" s="136"/>
      <c r="F58" s="136"/>
      <c r="G58" s="136"/>
      <c r="H58" s="136"/>
      <c r="I58" s="136"/>
      <c r="J58" s="136"/>
      <c r="K58" s="136"/>
      <c r="L58" s="136"/>
      <c r="M58" s="136"/>
      <c r="N58" s="136"/>
      <c r="O58" s="136"/>
      <c r="P58" s="136"/>
      <c r="Q58" s="136"/>
      <c r="R58" s="136"/>
      <c r="S58" s="136"/>
    </row>
    <row r="59" spans="2:19" x14ac:dyDescent="0.25">
      <c r="B59" s="77"/>
      <c r="C59" s="136"/>
      <c r="D59" s="136"/>
      <c r="E59" s="136"/>
      <c r="F59" s="136"/>
      <c r="G59" s="136"/>
      <c r="H59" s="136"/>
      <c r="I59" s="136"/>
      <c r="J59" s="136"/>
      <c r="K59" s="136"/>
      <c r="L59" s="136"/>
      <c r="M59" s="136"/>
      <c r="N59" s="136"/>
      <c r="O59" s="136"/>
      <c r="P59" s="136"/>
      <c r="Q59" s="136"/>
      <c r="R59" s="136"/>
      <c r="S59" s="136"/>
    </row>
    <row r="60" spans="2:19" ht="15" customHeight="1" x14ac:dyDescent="0.25">
      <c r="B60" s="77" t="s">
        <v>241</v>
      </c>
      <c r="C60" s="136" t="s">
        <v>273</v>
      </c>
      <c r="D60" s="136"/>
      <c r="E60" s="136"/>
      <c r="F60" s="136"/>
      <c r="G60" s="136"/>
      <c r="H60" s="136"/>
      <c r="I60" s="136"/>
      <c r="J60" s="136"/>
      <c r="K60" s="136"/>
      <c r="L60" s="136"/>
      <c r="M60" s="136"/>
      <c r="N60" s="136"/>
      <c r="O60" s="136"/>
      <c r="P60" s="136"/>
      <c r="Q60" s="136"/>
      <c r="R60" s="136"/>
      <c r="S60" s="136"/>
    </row>
    <row r="61" spans="2:19" ht="15" customHeight="1" x14ac:dyDescent="0.25">
      <c r="C61" s="136"/>
      <c r="D61" s="136"/>
      <c r="E61" s="136"/>
      <c r="F61" s="136"/>
      <c r="G61" s="136"/>
      <c r="H61" s="136"/>
      <c r="I61" s="136"/>
      <c r="J61" s="136"/>
      <c r="K61" s="136"/>
      <c r="L61" s="136"/>
      <c r="M61" s="136"/>
      <c r="N61" s="136"/>
      <c r="O61" s="136"/>
      <c r="P61" s="136"/>
      <c r="Q61" s="136"/>
      <c r="R61" s="136"/>
      <c r="S61" s="136"/>
    </row>
    <row r="62" spans="2:19" x14ac:dyDescent="0.25">
      <c r="C62" s="136"/>
      <c r="D62" s="136"/>
      <c r="E62" s="136"/>
      <c r="F62" s="136"/>
      <c r="G62" s="136"/>
      <c r="H62" s="136"/>
      <c r="I62" s="136"/>
      <c r="J62" s="136"/>
      <c r="K62" s="136"/>
      <c r="L62" s="136"/>
      <c r="M62" s="136"/>
      <c r="N62" s="136"/>
      <c r="O62" s="136"/>
      <c r="P62" s="136"/>
      <c r="Q62" s="136"/>
      <c r="R62" s="136"/>
      <c r="S62" s="136"/>
    </row>
    <row r="63" spans="2:19" x14ac:dyDescent="0.25">
      <c r="C63" s="136"/>
      <c r="D63" s="136"/>
      <c r="E63" s="136"/>
      <c r="F63" s="136"/>
      <c r="G63" s="136"/>
      <c r="H63" s="136"/>
      <c r="I63" s="136"/>
      <c r="J63" s="136"/>
      <c r="K63" s="136"/>
      <c r="L63" s="136"/>
      <c r="M63" s="136"/>
      <c r="N63" s="136"/>
      <c r="O63" s="136"/>
      <c r="P63" s="136"/>
      <c r="Q63" s="136"/>
      <c r="R63" s="136"/>
      <c r="S63" s="136"/>
    </row>
    <row r="64" spans="2:19" x14ac:dyDescent="0.25">
      <c r="B64" s="77" t="s">
        <v>241</v>
      </c>
      <c r="C64" s="568" t="s">
        <v>36</v>
      </c>
      <c r="D64" s="182"/>
      <c r="E64" s="182"/>
      <c r="F64" s="182"/>
      <c r="G64" s="182"/>
      <c r="H64" s="182"/>
      <c r="I64" s="182"/>
      <c r="J64" s="182"/>
      <c r="K64" s="182"/>
      <c r="L64" s="182"/>
      <c r="M64" s="182"/>
      <c r="N64" s="182"/>
      <c r="O64" s="182"/>
      <c r="P64" s="182"/>
      <c r="Q64" s="182"/>
      <c r="R64" s="182"/>
      <c r="S64" s="182"/>
    </row>
    <row r="65" spans="2:19" x14ac:dyDescent="0.25">
      <c r="B65" s="77" t="s">
        <v>241</v>
      </c>
      <c r="C65" s="567" t="s">
        <v>142</v>
      </c>
      <c r="D65" s="567"/>
      <c r="E65" s="567"/>
      <c r="F65" s="567"/>
      <c r="G65" s="567"/>
      <c r="H65" s="567"/>
      <c r="I65" s="567"/>
      <c r="J65" s="567"/>
      <c r="K65" s="567"/>
      <c r="L65" s="567"/>
      <c r="M65" s="567"/>
      <c r="N65" s="567"/>
      <c r="O65" s="567"/>
      <c r="P65" s="567"/>
      <c r="Q65" s="567"/>
      <c r="R65" s="567"/>
      <c r="S65" s="567"/>
    </row>
    <row r="66" spans="2:19" x14ac:dyDescent="0.25">
      <c r="B66" s="77"/>
      <c r="C66" s="567"/>
      <c r="D66" s="567"/>
      <c r="E66" s="567"/>
      <c r="F66" s="567"/>
      <c r="G66" s="567"/>
      <c r="H66" s="567"/>
      <c r="I66" s="567"/>
      <c r="J66" s="567"/>
      <c r="K66" s="567"/>
      <c r="L66" s="567"/>
      <c r="M66" s="567"/>
      <c r="N66" s="567"/>
      <c r="O66" s="567"/>
      <c r="P66" s="567"/>
      <c r="Q66" s="567"/>
      <c r="R66" s="567"/>
      <c r="S66" s="567"/>
    </row>
    <row r="67" spans="2:19" x14ac:dyDescent="0.25">
      <c r="B67" s="77"/>
      <c r="C67" s="567"/>
      <c r="D67" s="567"/>
      <c r="E67" s="567"/>
      <c r="F67" s="567"/>
      <c r="G67" s="567"/>
      <c r="H67" s="567"/>
      <c r="I67" s="567"/>
      <c r="J67" s="567"/>
      <c r="K67" s="567"/>
      <c r="L67" s="567"/>
      <c r="M67" s="567"/>
      <c r="N67" s="567"/>
      <c r="O67" s="567"/>
      <c r="P67" s="567"/>
      <c r="Q67" s="567"/>
      <c r="R67" s="567"/>
      <c r="S67" s="567"/>
    </row>
    <row r="69" spans="2:19" x14ac:dyDescent="0.25">
      <c r="B69" s="75" t="s">
        <v>37</v>
      </c>
    </row>
    <row r="70" spans="2:19" x14ac:dyDescent="0.25">
      <c r="B70" s="77" t="s">
        <v>241</v>
      </c>
      <c r="C70" s="568" t="s">
        <v>38</v>
      </c>
      <c r="D70" s="182"/>
      <c r="E70" s="182"/>
      <c r="F70" s="182"/>
      <c r="G70" s="182"/>
      <c r="H70" s="182"/>
      <c r="I70" s="182"/>
      <c r="J70" s="182"/>
      <c r="K70" s="182"/>
      <c r="L70" s="182"/>
      <c r="M70" s="182"/>
      <c r="N70" s="182"/>
      <c r="O70" s="182"/>
      <c r="P70" s="182"/>
      <c r="Q70" s="182"/>
      <c r="R70" s="182"/>
      <c r="S70" s="182"/>
    </row>
    <row r="71" spans="2:19" x14ac:dyDescent="0.25">
      <c r="B71" s="77" t="s">
        <v>241</v>
      </c>
      <c r="C71" s="568" t="s">
        <v>39</v>
      </c>
      <c r="D71" s="182"/>
      <c r="E71" s="182"/>
      <c r="F71" s="182"/>
      <c r="G71" s="182"/>
      <c r="H71" s="182"/>
      <c r="I71" s="182"/>
      <c r="J71" s="182"/>
      <c r="K71" s="182"/>
      <c r="L71" s="182"/>
      <c r="M71" s="182"/>
      <c r="N71" s="182"/>
      <c r="O71" s="182"/>
      <c r="P71" s="182"/>
      <c r="Q71" s="182"/>
      <c r="R71" s="182"/>
      <c r="S71" s="182"/>
    </row>
    <row r="72" spans="2:19" x14ac:dyDescent="0.25">
      <c r="B72" s="77" t="s">
        <v>241</v>
      </c>
      <c r="C72" s="568" t="s">
        <v>40</v>
      </c>
      <c r="D72" s="182"/>
      <c r="E72" s="182"/>
      <c r="F72" s="182"/>
      <c r="G72" s="182"/>
      <c r="H72" s="182"/>
      <c r="I72" s="182"/>
      <c r="J72" s="182"/>
      <c r="K72" s="182"/>
      <c r="L72" s="182"/>
      <c r="M72" s="182"/>
      <c r="N72" s="182"/>
      <c r="O72" s="182"/>
      <c r="P72" s="182"/>
      <c r="Q72" s="182"/>
      <c r="R72" s="182"/>
      <c r="S72" s="182"/>
    </row>
    <row r="73" spans="2:19" x14ac:dyDescent="0.25">
      <c r="B73" s="77" t="s">
        <v>241</v>
      </c>
      <c r="C73" s="568" t="s">
        <v>41</v>
      </c>
      <c r="D73" s="182"/>
      <c r="E73" s="182"/>
      <c r="F73" s="182"/>
      <c r="G73" s="182"/>
      <c r="H73" s="182"/>
      <c r="I73" s="182"/>
      <c r="J73" s="182"/>
      <c r="K73" s="182"/>
      <c r="L73" s="182"/>
      <c r="M73" s="182"/>
      <c r="N73" s="182"/>
      <c r="O73" s="182"/>
      <c r="P73" s="182"/>
      <c r="Q73" s="182"/>
      <c r="R73" s="182"/>
      <c r="S73" s="182"/>
    </row>
    <row r="74" spans="2:19" ht="15" customHeight="1" x14ac:dyDescent="0.25">
      <c r="B74" s="77" t="s">
        <v>241</v>
      </c>
      <c r="C74" s="136" t="s">
        <v>42</v>
      </c>
      <c r="D74" s="136"/>
      <c r="E74" s="136"/>
      <c r="F74" s="136"/>
      <c r="G74" s="136"/>
      <c r="H74" s="136"/>
      <c r="I74" s="136"/>
      <c r="J74" s="136"/>
      <c r="K74" s="136"/>
      <c r="L74" s="136"/>
      <c r="M74" s="136"/>
      <c r="N74" s="136"/>
      <c r="O74" s="136"/>
      <c r="P74" s="136"/>
      <c r="Q74" s="136"/>
      <c r="R74" s="136"/>
      <c r="S74" s="136"/>
    </row>
    <row r="75" spans="2:19" x14ac:dyDescent="0.25">
      <c r="B75" s="77"/>
      <c r="C75" s="136"/>
      <c r="D75" s="136"/>
      <c r="E75" s="136"/>
      <c r="F75" s="136"/>
      <c r="G75" s="136"/>
      <c r="H75" s="136"/>
      <c r="I75" s="136"/>
      <c r="J75" s="136"/>
      <c r="K75" s="136"/>
      <c r="L75" s="136"/>
      <c r="M75" s="136"/>
      <c r="N75" s="136"/>
      <c r="O75" s="136"/>
      <c r="P75" s="136"/>
      <c r="Q75" s="136"/>
      <c r="R75" s="136"/>
      <c r="S75" s="136"/>
    </row>
    <row r="76" spans="2:19" x14ac:dyDescent="0.25">
      <c r="B76" s="77" t="s">
        <v>241</v>
      </c>
      <c r="C76" s="568" t="s">
        <v>43</v>
      </c>
      <c r="D76" s="182"/>
      <c r="E76" s="182"/>
      <c r="F76" s="182"/>
      <c r="G76" s="182"/>
      <c r="H76" s="182"/>
      <c r="I76" s="182"/>
      <c r="J76" s="182"/>
      <c r="K76" s="182"/>
      <c r="L76" s="182"/>
      <c r="M76" s="182"/>
      <c r="N76" s="182"/>
      <c r="O76" s="182"/>
      <c r="P76" s="182"/>
      <c r="Q76" s="182"/>
      <c r="R76" s="182"/>
      <c r="S76" s="182"/>
    </row>
    <row r="77" spans="2:19" x14ac:dyDescent="0.25">
      <c r="B77" s="77" t="s">
        <v>241</v>
      </c>
      <c r="C77" s="568" t="s">
        <v>160</v>
      </c>
      <c r="D77" s="182"/>
      <c r="E77" s="182"/>
      <c r="F77" s="182"/>
      <c r="G77" s="182"/>
      <c r="H77" s="182"/>
      <c r="I77" s="182"/>
      <c r="J77" s="182"/>
      <c r="K77" s="182"/>
      <c r="L77" s="182"/>
      <c r="M77" s="182"/>
      <c r="N77" s="182"/>
      <c r="O77" s="182"/>
      <c r="P77" s="182"/>
      <c r="Q77" s="182"/>
      <c r="R77" s="182"/>
      <c r="S77" s="182"/>
    </row>
    <row r="78" spans="2:19" x14ac:dyDescent="0.25">
      <c r="B78" s="77" t="s">
        <v>241</v>
      </c>
      <c r="C78" s="568" t="s">
        <v>44</v>
      </c>
      <c r="D78" s="182"/>
      <c r="E78" s="182"/>
      <c r="F78" s="182"/>
      <c r="G78" s="182"/>
      <c r="H78" s="182"/>
      <c r="I78" s="182"/>
      <c r="J78" s="182"/>
      <c r="K78" s="182"/>
      <c r="L78" s="182"/>
      <c r="M78" s="182"/>
      <c r="N78" s="182"/>
      <c r="O78" s="182"/>
      <c r="P78" s="182"/>
      <c r="Q78" s="182"/>
      <c r="R78" s="182"/>
      <c r="S78" s="182"/>
    </row>
    <row r="79" spans="2:19" x14ac:dyDescent="0.25">
      <c r="B79" s="77" t="s">
        <v>241</v>
      </c>
      <c r="C79" s="568" t="s">
        <v>45</v>
      </c>
      <c r="D79" s="182"/>
      <c r="E79" s="182"/>
      <c r="F79" s="182"/>
      <c r="G79" s="182"/>
      <c r="H79" s="182"/>
      <c r="I79" s="182"/>
      <c r="J79" s="182"/>
      <c r="K79" s="182"/>
      <c r="L79" s="182"/>
      <c r="M79" s="182"/>
      <c r="N79" s="182"/>
      <c r="O79" s="182"/>
      <c r="P79" s="182"/>
      <c r="Q79" s="182"/>
      <c r="R79" s="182"/>
      <c r="S79" s="182"/>
    </row>
    <row r="80" spans="2:19" x14ac:dyDescent="0.25">
      <c r="B80" s="77" t="s">
        <v>241</v>
      </c>
      <c r="C80" s="568" t="s">
        <v>46</v>
      </c>
      <c r="D80" s="182"/>
      <c r="E80" s="182"/>
      <c r="F80" s="182"/>
      <c r="G80" s="182"/>
      <c r="H80" s="182"/>
      <c r="I80" s="182"/>
      <c r="J80" s="182"/>
      <c r="K80" s="182"/>
      <c r="L80" s="182"/>
      <c r="M80" s="182"/>
      <c r="N80" s="182"/>
      <c r="O80" s="182"/>
      <c r="P80" s="182"/>
      <c r="Q80" s="182"/>
      <c r="R80" s="182"/>
      <c r="S80" s="182"/>
    </row>
    <row r="81" spans="2:19" x14ac:dyDescent="0.25">
      <c r="B81" s="77" t="s">
        <v>241</v>
      </c>
      <c r="C81" s="568" t="s">
        <v>47</v>
      </c>
      <c r="D81" s="182"/>
      <c r="E81" s="182"/>
      <c r="F81" s="182"/>
      <c r="G81" s="182"/>
      <c r="H81" s="182"/>
      <c r="I81" s="182"/>
      <c r="J81" s="182"/>
      <c r="K81" s="182"/>
      <c r="L81" s="182"/>
      <c r="M81" s="182"/>
      <c r="N81" s="182"/>
      <c r="O81" s="182"/>
      <c r="P81" s="182"/>
      <c r="Q81" s="182"/>
      <c r="R81" s="182"/>
      <c r="S81" s="182"/>
    </row>
    <row r="82" spans="2:19" ht="15" customHeight="1" x14ac:dyDescent="0.25">
      <c r="B82" s="77" t="s">
        <v>241</v>
      </c>
      <c r="C82" s="136" t="s">
        <v>48</v>
      </c>
      <c r="D82" s="136"/>
      <c r="E82" s="136"/>
      <c r="F82" s="136"/>
      <c r="G82" s="136"/>
      <c r="H82" s="136"/>
      <c r="I82" s="136"/>
      <c r="J82" s="136"/>
      <c r="K82" s="136"/>
      <c r="L82" s="136"/>
      <c r="M82" s="136"/>
      <c r="N82" s="136"/>
      <c r="O82" s="136"/>
      <c r="P82" s="136"/>
      <c r="Q82" s="136"/>
      <c r="R82" s="136"/>
      <c r="S82" s="136"/>
    </row>
    <row r="83" spans="2:19" x14ac:dyDescent="0.25">
      <c r="B83" s="77"/>
      <c r="C83" s="136"/>
      <c r="D83" s="136"/>
      <c r="E83" s="136"/>
      <c r="F83" s="136"/>
      <c r="G83" s="136"/>
      <c r="H83" s="136"/>
      <c r="I83" s="136"/>
      <c r="J83" s="136"/>
      <c r="K83" s="136"/>
      <c r="L83" s="136"/>
      <c r="M83" s="136"/>
      <c r="N83" s="136"/>
      <c r="O83" s="136"/>
      <c r="P83" s="136"/>
      <c r="Q83" s="136"/>
      <c r="R83" s="136"/>
      <c r="S83" s="136"/>
    </row>
    <row r="84" spans="2:19" ht="15" customHeight="1" x14ac:dyDescent="0.25">
      <c r="B84" s="77" t="s">
        <v>241</v>
      </c>
      <c r="C84" s="568" t="s">
        <v>49</v>
      </c>
      <c r="D84" s="182"/>
      <c r="E84" s="182"/>
      <c r="F84" s="182"/>
      <c r="G84" s="182"/>
      <c r="H84" s="182"/>
      <c r="I84" s="182"/>
      <c r="J84" s="182"/>
      <c r="K84" s="182"/>
      <c r="L84" s="182"/>
      <c r="M84" s="182"/>
      <c r="N84" s="182"/>
      <c r="O84" s="182"/>
      <c r="P84" s="182"/>
      <c r="Q84" s="182"/>
      <c r="R84" s="182"/>
      <c r="S84" s="182"/>
    </row>
    <row r="85" spans="2:19" ht="15" customHeight="1" x14ac:dyDescent="0.25">
      <c r="B85" s="77" t="s">
        <v>241</v>
      </c>
      <c r="C85" s="136" t="s">
        <v>161</v>
      </c>
      <c r="D85" s="136"/>
      <c r="E85" s="136"/>
      <c r="F85" s="136"/>
      <c r="G85" s="136"/>
      <c r="H85" s="136"/>
      <c r="I85" s="136"/>
      <c r="J85" s="136"/>
      <c r="K85" s="136"/>
      <c r="L85" s="136"/>
      <c r="M85" s="136"/>
      <c r="N85" s="136"/>
      <c r="O85" s="136"/>
      <c r="P85" s="136"/>
      <c r="Q85" s="136"/>
      <c r="R85" s="136"/>
      <c r="S85" s="136"/>
    </row>
    <row r="86" spans="2:19" x14ac:dyDescent="0.25">
      <c r="B86" s="77"/>
      <c r="C86" s="136"/>
      <c r="D86" s="136"/>
      <c r="E86" s="136"/>
      <c r="F86" s="136"/>
      <c r="G86" s="136"/>
      <c r="H86" s="136"/>
      <c r="I86" s="136"/>
      <c r="J86" s="136"/>
      <c r="K86" s="136"/>
      <c r="L86" s="136"/>
      <c r="M86" s="136"/>
      <c r="N86" s="136"/>
      <c r="O86" s="136"/>
      <c r="P86" s="136"/>
      <c r="Q86" s="136"/>
      <c r="R86" s="136"/>
      <c r="S86" s="136"/>
    </row>
    <row r="87" spans="2:19" ht="15" customHeight="1" x14ac:dyDescent="0.25">
      <c r="B87" s="77" t="s">
        <v>241</v>
      </c>
      <c r="C87" s="136" t="s">
        <v>50</v>
      </c>
      <c r="D87" s="136"/>
      <c r="E87" s="136"/>
      <c r="F87" s="136"/>
      <c r="G87" s="136"/>
      <c r="H87" s="136"/>
      <c r="I87" s="136"/>
      <c r="J87" s="136"/>
      <c r="K87" s="136"/>
      <c r="L87" s="136"/>
      <c r="M87" s="136"/>
      <c r="N87" s="136"/>
      <c r="O87" s="136"/>
      <c r="P87" s="136"/>
      <c r="Q87" s="136"/>
      <c r="R87" s="136"/>
      <c r="S87" s="136"/>
    </row>
    <row r="88" spans="2:19" x14ac:dyDescent="0.25">
      <c r="B88" s="77"/>
      <c r="C88" s="136"/>
      <c r="D88" s="136"/>
      <c r="E88" s="136"/>
      <c r="F88" s="136"/>
      <c r="G88" s="136"/>
      <c r="H88" s="136"/>
      <c r="I88" s="136"/>
      <c r="J88" s="136"/>
      <c r="K88" s="136"/>
      <c r="L88" s="136"/>
      <c r="M88" s="136"/>
      <c r="N88" s="136"/>
      <c r="O88" s="136"/>
      <c r="P88" s="136"/>
      <c r="Q88" s="136"/>
      <c r="R88" s="136"/>
      <c r="S88" s="136"/>
    </row>
    <row r="89" spans="2:19" x14ac:dyDescent="0.25">
      <c r="B89" s="77" t="s">
        <v>241</v>
      </c>
      <c r="C89" s="568" t="s">
        <v>51</v>
      </c>
      <c r="D89" s="182"/>
      <c r="E89" s="182"/>
      <c r="F89" s="182"/>
      <c r="G89" s="182"/>
      <c r="H89" s="182"/>
      <c r="I89" s="182"/>
      <c r="J89" s="182"/>
      <c r="K89" s="182"/>
      <c r="L89" s="182"/>
      <c r="M89" s="182"/>
      <c r="N89" s="182"/>
      <c r="O89" s="182"/>
      <c r="P89" s="182"/>
      <c r="Q89" s="182"/>
      <c r="R89" s="182"/>
      <c r="S89" s="182"/>
    </row>
    <row r="90" spans="2:19" x14ac:dyDescent="0.25">
      <c r="B90" s="77" t="s">
        <v>241</v>
      </c>
      <c r="C90" s="568" t="s">
        <v>52</v>
      </c>
      <c r="D90" s="182"/>
      <c r="E90" s="182"/>
      <c r="F90" s="182"/>
      <c r="G90" s="182"/>
      <c r="H90" s="182"/>
      <c r="I90" s="182"/>
      <c r="J90" s="182"/>
      <c r="K90" s="182"/>
      <c r="L90" s="182"/>
      <c r="M90" s="182"/>
      <c r="N90" s="182"/>
      <c r="O90" s="182"/>
      <c r="P90" s="182"/>
      <c r="Q90" s="182"/>
      <c r="R90" s="182"/>
      <c r="S90" s="182"/>
    </row>
    <row r="91" spans="2:19" x14ac:dyDescent="0.25">
      <c r="B91" s="77" t="s">
        <v>241</v>
      </c>
      <c r="C91" s="568" t="s">
        <v>53</v>
      </c>
      <c r="D91" s="182"/>
      <c r="E91" s="182"/>
      <c r="F91" s="182"/>
      <c r="G91" s="182"/>
      <c r="H91" s="182"/>
      <c r="I91" s="182"/>
      <c r="J91" s="182"/>
      <c r="K91" s="182"/>
      <c r="L91" s="182"/>
      <c r="M91" s="182"/>
      <c r="N91" s="182"/>
      <c r="O91" s="182"/>
      <c r="P91" s="182"/>
      <c r="Q91" s="182"/>
      <c r="R91" s="182"/>
      <c r="S91" s="182"/>
    </row>
    <row r="92" spans="2:19" x14ac:dyDescent="0.25">
      <c r="B92" s="77" t="s">
        <v>241</v>
      </c>
      <c r="C92" s="568" t="s">
        <v>274</v>
      </c>
      <c r="D92" s="182"/>
      <c r="E92" s="182"/>
      <c r="F92" s="182"/>
      <c r="G92" s="182"/>
      <c r="H92" s="182"/>
      <c r="I92" s="182"/>
      <c r="J92" s="182"/>
      <c r="K92" s="182"/>
      <c r="L92" s="182"/>
      <c r="M92" s="182"/>
      <c r="N92" s="182"/>
      <c r="O92" s="182"/>
      <c r="P92" s="182"/>
      <c r="Q92" s="182"/>
      <c r="R92" s="182"/>
      <c r="S92" s="182"/>
    </row>
    <row r="93" spans="2:19" ht="15" customHeight="1" x14ac:dyDescent="0.25">
      <c r="B93" s="77" t="s">
        <v>241</v>
      </c>
      <c r="C93" s="568" t="s">
        <v>301</v>
      </c>
      <c r="D93" s="182"/>
      <c r="E93" s="182"/>
      <c r="F93" s="182"/>
      <c r="G93" s="182"/>
      <c r="H93" s="182"/>
      <c r="I93" s="182"/>
      <c r="J93" s="182"/>
      <c r="K93" s="182"/>
      <c r="L93" s="182"/>
      <c r="M93" s="182"/>
      <c r="N93" s="182"/>
      <c r="O93" s="182"/>
      <c r="P93" s="182"/>
      <c r="Q93" s="182"/>
      <c r="R93" s="182"/>
      <c r="S93" s="182"/>
    </row>
    <row r="94" spans="2:19" ht="15" customHeight="1" x14ac:dyDescent="0.25">
      <c r="B94" s="77" t="s">
        <v>241</v>
      </c>
      <c r="C94" s="136" t="s">
        <v>54</v>
      </c>
      <c r="D94" s="136"/>
      <c r="E94" s="136"/>
      <c r="F94" s="136"/>
      <c r="G94" s="136"/>
      <c r="H94" s="136"/>
      <c r="I94" s="136"/>
      <c r="J94" s="136"/>
      <c r="K94" s="136"/>
      <c r="L94" s="136"/>
      <c r="M94" s="136"/>
      <c r="N94" s="136"/>
      <c r="O94" s="136"/>
      <c r="P94" s="136"/>
      <c r="Q94" s="136"/>
      <c r="R94" s="136"/>
      <c r="S94" s="136"/>
    </row>
    <row r="95" spans="2:19" x14ac:dyDescent="0.25">
      <c r="C95" s="136"/>
      <c r="D95" s="136"/>
      <c r="E95" s="136"/>
      <c r="F95" s="136"/>
      <c r="G95" s="136"/>
      <c r="H95" s="136"/>
      <c r="I95" s="136"/>
      <c r="J95" s="136"/>
      <c r="K95" s="136"/>
      <c r="L95" s="136"/>
      <c r="M95" s="136"/>
      <c r="N95" s="136"/>
      <c r="O95" s="136"/>
      <c r="P95" s="136"/>
      <c r="Q95" s="136"/>
      <c r="R95" s="136"/>
      <c r="S95" s="136"/>
    </row>
    <row r="96" spans="2:19" x14ac:dyDescent="0.25">
      <c r="B96" s="77" t="s">
        <v>241</v>
      </c>
      <c r="C96" s="136" t="s">
        <v>162</v>
      </c>
      <c r="D96" s="136"/>
      <c r="E96" s="136"/>
      <c r="F96" s="136"/>
      <c r="G96" s="136"/>
      <c r="H96" s="136"/>
      <c r="I96" s="136"/>
      <c r="J96" s="136"/>
      <c r="K96" s="136"/>
      <c r="L96" s="136"/>
      <c r="M96" s="136"/>
      <c r="N96" s="136"/>
      <c r="O96" s="136"/>
      <c r="P96" s="136"/>
      <c r="Q96" s="136"/>
      <c r="R96" s="136"/>
      <c r="S96" s="8"/>
    </row>
    <row r="97" spans="2:19" x14ac:dyDescent="0.25">
      <c r="B97" s="77"/>
      <c r="C97" s="136"/>
      <c r="D97" s="136"/>
      <c r="E97" s="136"/>
      <c r="F97" s="136"/>
      <c r="G97" s="136"/>
      <c r="H97" s="136"/>
      <c r="I97" s="136"/>
      <c r="J97" s="136"/>
      <c r="K97" s="136"/>
      <c r="L97" s="136"/>
      <c r="M97" s="136"/>
      <c r="N97" s="136"/>
      <c r="O97" s="136"/>
      <c r="P97" s="136"/>
      <c r="Q97" s="136"/>
      <c r="R97" s="136"/>
      <c r="S97" s="7"/>
    </row>
    <row r="98" spans="2:19" ht="16.5" customHeight="1" x14ac:dyDescent="0.25">
      <c r="B98" s="77" t="s">
        <v>241</v>
      </c>
      <c r="C98" s="136" t="s">
        <v>275</v>
      </c>
      <c r="D98" s="136"/>
      <c r="E98" s="136"/>
      <c r="F98" s="136"/>
      <c r="G98" s="136"/>
      <c r="H98" s="136"/>
      <c r="I98" s="136"/>
      <c r="J98" s="136"/>
      <c r="K98" s="136"/>
      <c r="L98" s="136"/>
      <c r="M98" s="136"/>
      <c r="N98" s="136"/>
      <c r="O98" s="136"/>
      <c r="P98" s="136"/>
      <c r="Q98" s="136"/>
      <c r="R98" s="136"/>
      <c r="S98" s="136"/>
    </row>
    <row r="99" spans="2:19" ht="16.5" customHeight="1" x14ac:dyDescent="0.25">
      <c r="C99" s="136"/>
      <c r="D99" s="136"/>
      <c r="E99" s="136"/>
      <c r="F99" s="136"/>
      <c r="G99" s="136"/>
      <c r="H99" s="136"/>
      <c r="I99" s="136"/>
      <c r="J99" s="136"/>
      <c r="K99" s="136"/>
      <c r="L99" s="136"/>
      <c r="M99" s="136"/>
      <c r="N99" s="136"/>
      <c r="O99" s="136"/>
      <c r="P99" s="136"/>
      <c r="Q99" s="136"/>
      <c r="R99" s="136"/>
      <c r="S99" s="136"/>
    </row>
    <row r="101" spans="2:19" x14ac:dyDescent="0.25">
      <c r="B101" s="570" t="s">
        <v>55</v>
      </c>
      <c r="C101" s="571"/>
      <c r="D101" s="571"/>
      <c r="E101" s="571"/>
      <c r="F101" s="571"/>
      <c r="G101" s="571"/>
      <c r="H101" s="571"/>
      <c r="I101" s="571"/>
      <c r="J101" s="571"/>
      <c r="K101" s="571"/>
      <c r="L101" s="571"/>
      <c r="M101" s="571"/>
      <c r="N101" s="571"/>
      <c r="O101" s="571"/>
      <c r="P101" s="571"/>
      <c r="Q101" s="571"/>
      <c r="R101" s="571"/>
    </row>
    <row r="102" spans="2:19" x14ac:dyDescent="0.25">
      <c r="B102" s="77" t="s">
        <v>241</v>
      </c>
      <c r="C102" s="568" t="s">
        <v>56</v>
      </c>
      <c r="D102" s="182"/>
      <c r="E102" s="182"/>
      <c r="F102" s="182"/>
      <c r="G102" s="182"/>
      <c r="H102" s="182"/>
      <c r="I102" s="182"/>
      <c r="J102" s="182"/>
      <c r="K102" s="182"/>
      <c r="L102" s="182"/>
      <c r="M102" s="182"/>
      <c r="N102" s="182"/>
      <c r="O102" s="182"/>
      <c r="P102" s="182"/>
      <c r="Q102" s="182"/>
      <c r="R102" s="182"/>
      <c r="S102" s="182"/>
    </row>
    <row r="103" spans="2:19" x14ac:dyDescent="0.25">
      <c r="B103" s="77" t="s">
        <v>241</v>
      </c>
      <c r="C103" s="568" t="s">
        <v>57</v>
      </c>
      <c r="D103" s="182"/>
      <c r="E103" s="182"/>
      <c r="F103" s="182"/>
      <c r="G103" s="182"/>
      <c r="H103" s="182"/>
      <c r="I103" s="182"/>
      <c r="J103" s="182"/>
      <c r="K103" s="182"/>
      <c r="L103" s="182"/>
      <c r="M103" s="182"/>
      <c r="N103" s="182"/>
      <c r="O103" s="182"/>
      <c r="P103" s="182"/>
      <c r="Q103" s="182"/>
      <c r="R103" s="182"/>
      <c r="S103" s="182"/>
    </row>
    <row r="104" spans="2:19" x14ac:dyDescent="0.25">
      <c r="B104" s="77" t="s">
        <v>241</v>
      </c>
      <c r="C104" s="568" t="s">
        <v>58</v>
      </c>
      <c r="D104" s="182"/>
      <c r="E104" s="182"/>
      <c r="F104" s="182"/>
      <c r="G104" s="182"/>
      <c r="H104" s="182"/>
      <c r="I104" s="182"/>
      <c r="J104" s="182"/>
      <c r="K104" s="182"/>
      <c r="L104" s="182"/>
      <c r="M104" s="182"/>
      <c r="N104" s="182"/>
      <c r="O104" s="182"/>
      <c r="P104" s="182"/>
      <c r="Q104" s="182"/>
      <c r="R104" s="182"/>
      <c r="S104" s="182"/>
    </row>
    <row r="105" spans="2:19" x14ac:dyDescent="0.25">
      <c r="B105" s="7"/>
      <c r="C105" s="568"/>
      <c r="D105" s="182"/>
      <c r="E105" s="182"/>
      <c r="F105" s="182"/>
      <c r="G105" s="182"/>
      <c r="H105" s="182"/>
      <c r="I105" s="182"/>
      <c r="J105" s="182"/>
      <c r="K105" s="182"/>
      <c r="L105" s="182"/>
      <c r="M105" s="182"/>
      <c r="N105" s="182"/>
      <c r="O105" s="182"/>
      <c r="P105" s="182"/>
      <c r="Q105" s="182"/>
      <c r="R105" s="182"/>
      <c r="S105" s="182"/>
    </row>
    <row r="106" spans="2:19" x14ac:dyDescent="0.25">
      <c r="B106" s="570" t="s">
        <v>59</v>
      </c>
      <c r="C106" s="571"/>
      <c r="D106" s="571"/>
      <c r="E106" s="571"/>
      <c r="F106" s="571"/>
      <c r="G106" s="571"/>
      <c r="H106" s="571"/>
      <c r="I106" s="571"/>
      <c r="J106" s="571"/>
      <c r="K106" s="571"/>
      <c r="L106" s="571"/>
      <c r="M106" s="571"/>
      <c r="N106" s="571"/>
      <c r="O106" s="571"/>
      <c r="P106" s="571"/>
      <c r="Q106" s="571"/>
      <c r="R106" s="571"/>
    </row>
    <row r="107" spans="2:19" x14ac:dyDescent="0.25">
      <c r="B107" s="77" t="s">
        <v>241</v>
      </c>
      <c r="C107" s="568" t="s">
        <v>60</v>
      </c>
      <c r="D107" s="182"/>
      <c r="E107" s="182"/>
      <c r="F107" s="182"/>
      <c r="G107" s="182"/>
      <c r="H107" s="182"/>
      <c r="I107" s="182"/>
      <c r="J107" s="182"/>
      <c r="K107" s="182"/>
      <c r="L107" s="182"/>
      <c r="M107" s="182"/>
      <c r="N107" s="182"/>
      <c r="O107" s="182"/>
      <c r="P107" s="182"/>
      <c r="Q107" s="182"/>
      <c r="R107" s="182"/>
      <c r="S107" s="182"/>
    </row>
    <row r="108" spans="2:19" x14ac:dyDescent="0.25">
      <c r="B108" s="77" t="s">
        <v>241</v>
      </c>
      <c r="C108" s="568" t="s">
        <v>61</v>
      </c>
      <c r="D108" s="182"/>
      <c r="E108" s="182"/>
      <c r="F108" s="182"/>
      <c r="G108" s="182"/>
      <c r="H108" s="182"/>
      <c r="I108" s="182"/>
      <c r="J108" s="182"/>
      <c r="K108" s="182"/>
      <c r="L108" s="182"/>
      <c r="M108" s="182"/>
      <c r="N108" s="182"/>
      <c r="O108" s="182"/>
      <c r="P108" s="182"/>
      <c r="Q108" s="182"/>
      <c r="R108" s="182"/>
      <c r="S108" s="182"/>
    </row>
    <row r="109" spans="2:19" ht="15" customHeight="1" x14ac:dyDescent="0.25">
      <c r="B109" s="77" t="s">
        <v>241</v>
      </c>
      <c r="C109" s="136" t="s">
        <v>62</v>
      </c>
      <c r="D109" s="136"/>
      <c r="E109" s="136"/>
      <c r="F109" s="136"/>
      <c r="G109" s="136"/>
      <c r="H109" s="136"/>
      <c r="I109" s="136"/>
      <c r="J109" s="136"/>
      <c r="K109" s="136"/>
      <c r="L109" s="136"/>
      <c r="M109" s="136"/>
      <c r="N109" s="136"/>
      <c r="O109" s="136"/>
      <c r="P109" s="136"/>
      <c r="Q109" s="136"/>
      <c r="R109" s="136"/>
      <c r="S109" s="136"/>
    </row>
    <row r="110" spans="2:19" x14ac:dyDescent="0.25">
      <c r="B110" s="77"/>
      <c r="C110" s="136"/>
      <c r="D110" s="136"/>
      <c r="E110" s="136"/>
      <c r="F110" s="136"/>
      <c r="G110" s="136"/>
      <c r="H110" s="136"/>
      <c r="I110" s="136"/>
      <c r="J110" s="136"/>
      <c r="K110" s="136"/>
      <c r="L110" s="136"/>
      <c r="M110" s="136"/>
      <c r="N110" s="136"/>
      <c r="O110" s="136"/>
      <c r="P110" s="136"/>
      <c r="Q110" s="136"/>
      <c r="R110" s="136"/>
      <c r="S110" s="136"/>
    </row>
    <row r="111" spans="2:19" x14ac:dyDescent="0.25">
      <c r="B111" s="77" t="s">
        <v>241</v>
      </c>
      <c r="C111" s="568" t="s">
        <v>63</v>
      </c>
      <c r="D111" s="568"/>
      <c r="E111" s="568"/>
      <c r="F111" s="568"/>
      <c r="G111" s="568"/>
      <c r="H111" s="568"/>
      <c r="I111" s="568"/>
      <c r="J111" s="568"/>
      <c r="K111" s="568"/>
      <c r="L111" s="568"/>
      <c r="M111" s="568"/>
      <c r="N111" s="568"/>
      <c r="O111" s="568"/>
      <c r="P111" s="568"/>
      <c r="Q111" s="568"/>
      <c r="R111" s="568"/>
      <c r="S111" s="568"/>
    </row>
    <row r="112" spans="2:19" x14ac:dyDescent="0.25">
      <c r="B112" s="77" t="s">
        <v>241</v>
      </c>
      <c r="C112" s="568" t="s">
        <v>64</v>
      </c>
      <c r="D112" s="568"/>
      <c r="E112" s="568"/>
      <c r="F112" s="568"/>
      <c r="G112" s="568"/>
      <c r="H112" s="568"/>
      <c r="I112" s="568"/>
      <c r="J112" s="568"/>
      <c r="K112" s="568"/>
      <c r="L112" s="568"/>
      <c r="M112" s="568"/>
      <c r="N112" s="568"/>
      <c r="O112" s="568"/>
      <c r="P112" s="568"/>
      <c r="Q112" s="568"/>
      <c r="R112" s="568"/>
      <c r="S112" s="568"/>
    </row>
    <row r="113" spans="1:19" x14ac:dyDescent="0.25">
      <c r="B113" s="77" t="s">
        <v>241</v>
      </c>
      <c r="C113" s="568" t="s">
        <v>65</v>
      </c>
      <c r="D113" s="182"/>
      <c r="E113" s="182"/>
      <c r="F113" s="182"/>
      <c r="G113" s="182"/>
      <c r="H113" s="182"/>
      <c r="I113" s="182"/>
      <c r="J113" s="182"/>
      <c r="K113" s="182"/>
      <c r="L113" s="182"/>
      <c r="M113" s="182"/>
      <c r="N113" s="182"/>
      <c r="O113" s="182"/>
      <c r="P113" s="182"/>
      <c r="Q113" s="182"/>
      <c r="R113" s="182"/>
      <c r="S113" s="182"/>
    </row>
    <row r="114" spans="1:19" x14ac:dyDescent="0.25">
      <c r="B114" s="77" t="s">
        <v>241</v>
      </c>
      <c r="C114" s="568" t="s">
        <v>66</v>
      </c>
      <c r="D114" s="182"/>
      <c r="E114" s="182"/>
      <c r="F114" s="182"/>
      <c r="G114" s="182"/>
      <c r="H114" s="182"/>
      <c r="I114" s="182"/>
      <c r="J114" s="182"/>
      <c r="K114" s="182"/>
      <c r="L114" s="182"/>
      <c r="M114" s="182"/>
      <c r="N114" s="182"/>
      <c r="O114" s="182"/>
      <c r="P114" s="182"/>
      <c r="Q114" s="182"/>
      <c r="R114" s="182"/>
      <c r="S114" s="182"/>
    </row>
    <row r="115" spans="1:19" x14ac:dyDescent="0.25">
      <c r="B115" s="77" t="s">
        <v>241</v>
      </c>
      <c r="C115" s="568" t="s">
        <v>67</v>
      </c>
      <c r="D115" s="182"/>
      <c r="E115" s="182"/>
      <c r="F115" s="182"/>
      <c r="G115" s="182"/>
      <c r="H115" s="182"/>
      <c r="I115" s="182"/>
      <c r="J115" s="182"/>
      <c r="K115" s="182"/>
      <c r="L115" s="182"/>
      <c r="M115" s="182"/>
      <c r="N115" s="182"/>
      <c r="O115" s="182"/>
      <c r="P115" s="182"/>
      <c r="Q115" s="182"/>
      <c r="R115" s="182"/>
      <c r="S115" s="182"/>
    </row>
    <row r="116" spans="1:19" ht="15" customHeight="1" x14ac:dyDescent="0.25">
      <c r="B116" s="77" t="s">
        <v>241</v>
      </c>
      <c r="C116" s="136" t="s">
        <v>68</v>
      </c>
      <c r="D116" s="136"/>
      <c r="E116" s="136"/>
      <c r="F116" s="136"/>
      <c r="G116" s="136"/>
      <c r="H116" s="136"/>
      <c r="I116" s="136"/>
      <c r="J116" s="136"/>
      <c r="K116" s="136"/>
      <c r="L116" s="136"/>
      <c r="M116" s="136"/>
      <c r="N116" s="136"/>
      <c r="O116" s="136"/>
      <c r="P116" s="136"/>
      <c r="Q116" s="136"/>
      <c r="R116" s="136"/>
      <c r="S116" s="136"/>
    </row>
    <row r="117" spans="1:19" x14ac:dyDescent="0.25">
      <c r="B117" s="77"/>
      <c r="C117" s="136"/>
      <c r="D117" s="136"/>
      <c r="E117" s="136"/>
      <c r="F117" s="136"/>
      <c r="G117" s="136"/>
      <c r="H117" s="136"/>
      <c r="I117" s="136"/>
      <c r="J117" s="136"/>
      <c r="K117" s="136"/>
      <c r="L117" s="136"/>
      <c r="M117" s="136"/>
      <c r="N117" s="136"/>
      <c r="O117" s="136"/>
      <c r="P117" s="136"/>
      <c r="Q117" s="136"/>
      <c r="R117" s="136"/>
      <c r="S117" s="136"/>
    </row>
    <row r="118" spans="1:19" x14ac:dyDescent="0.25">
      <c r="B118" s="77" t="s">
        <v>241</v>
      </c>
      <c r="C118" s="568" t="s">
        <v>69</v>
      </c>
      <c r="D118" s="182"/>
      <c r="E118" s="182"/>
      <c r="F118" s="182"/>
      <c r="G118" s="182"/>
      <c r="H118" s="182"/>
      <c r="I118" s="182"/>
      <c r="J118" s="182"/>
      <c r="K118" s="182"/>
      <c r="L118" s="182"/>
      <c r="M118" s="182"/>
      <c r="N118" s="182"/>
      <c r="O118" s="182"/>
      <c r="P118" s="182"/>
      <c r="Q118" s="182"/>
      <c r="R118" s="182"/>
      <c r="S118" s="182"/>
    </row>
    <row r="120" spans="1:19" x14ac:dyDescent="0.25">
      <c r="A120" s="75"/>
      <c r="B120" s="570" t="s">
        <v>70</v>
      </c>
      <c r="C120" s="571"/>
      <c r="D120" s="571"/>
      <c r="E120" s="571"/>
      <c r="F120" s="571"/>
      <c r="G120" s="571"/>
      <c r="H120" s="571"/>
      <c r="I120" s="571"/>
      <c r="J120" s="571"/>
      <c r="K120" s="571"/>
      <c r="L120" s="571"/>
      <c r="M120" s="571"/>
      <c r="N120" s="571"/>
      <c r="O120" s="571"/>
      <c r="P120" s="571"/>
      <c r="Q120" s="571"/>
      <c r="R120" s="571"/>
    </row>
    <row r="121" spans="1:19" ht="15" customHeight="1" x14ac:dyDescent="0.25">
      <c r="B121" s="77" t="s">
        <v>241</v>
      </c>
      <c r="C121" s="136" t="s">
        <v>71</v>
      </c>
      <c r="D121" s="136"/>
      <c r="E121" s="136"/>
      <c r="F121" s="136"/>
      <c r="G121" s="136"/>
      <c r="H121" s="136"/>
      <c r="I121" s="136"/>
      <c r="J121" s="136"/>
      <c r="K121" s="136"/>
      <c r="L121" s="136"/>
      <c r="M121" s="136"/>
      <c r="N121" s="136"/>
      <c r="O121" s="136"/>
      <c r="P121" s="136"/>
      <c r="Q121" s="136"/>
      <c r="R121" s="136"/>
      <c r="S121" s="136"/>
    </row>
    <row r="122" spans="1:19" x14ac:dyDescent="0.25">
      <c r="C122" s="136"/>
      <c r="D122" s="136"/>
      <c r="E122" s="136"/>
      <c r="F122" s="136"/>
      <c r="G122" s="136"/>
      <c r="H122" s="136"/>
      <c r="I122" s="136"/>
      <c r="J122" s="136"/>
      <c r="K122" s="136"/>
      <c r="L122" s="136"/>
      <c r="M122" s="136"/>
      <c r="N122" s="136"/>
      <c r="O122" s="136"/>
      <c r="P122" s="136"/>
      <c r="Q122" s="136"/>
      <c r="R122" s="136"/>
      <c r="S122" s="136"/>
    </row>
    <row r="123" spans="1:19" ht="15" customHeight="1" x14ac:dyDescent="0.25">
      <c r="B123" s="77" t="s">
        <v>241</v>
      </c>
      <c r="C123" s="136" t="s">
        <v>72</v>
      </c>
      <c r="D123" s="136"/>
      <c r="E123" s="136"/>
      <c r="F123" s="136"/>
      <c r="G123" s="136"/>
      <c r="H123" s="136"/>
      <c r="I123" s="136"/>
      <c r="J123" s="136"/>
      <c r="K123" s="136"/>
      <c r="L123" s="136"/>
      <c r="M123" s="136"/>
      <c r="N123" s="136"/>
      <c r="O123" s="136"/>
      <c r="P123" s="136"/>
      <c r="Q123" s="136"/>
      <c r="R123" s="136"/>
      <c r="S123" s="136"/>
    </row>
    <row r="124" spans="1:19" x14ac:dyDescent="0.25">
      <c r="C124" s="136"/>
      <c r="D124" s="136"/>
      <c r="E124" s="136"/>
      <c r="F124" s="136"/>
      <c r="G124" s="136"/>
      <c r="H124" s="136"/>
      <c r="I124" s="136"/>
      <c r="J124" s="136"/>
      <c r="K124" s="136"/>
      <c r="L124" s="136"/>
      <c r="M124" s="136"/>
      <c r="N124" s="136"/>
      <c r="O124" s="136"/>
      <c r="P124" s="136"/>
      <c r="Q124" s="136"/>
      <c r="R124" s="136"/>
      <c r="S124" s="136"/>
    </row>
    <row r="125" spans="1:19" x14ac:dyDescent="0.25">
      <c r="B125" s="77" t="s">
        <v>241</v>
      </c>
      <c r="C125" s="568" t="s">
        <v>73</v>
      </c>
      <c r="D125" s="182"/>
      <c r="E125" s="182"/>
      <c r="F125" s="182"/>
      <c r="G125" s="182"/>
      <c r="H125" s="182"/>
      <c r="I125" s="182"/>
      <c r="J125" s="182"/>
      <c r="K125" s="182"/>
      <c r="L125" s="182"/>
      <c r="M125" s="182"/>
      <c r="N125" s="182"/>
      <c r="O125" s="182"/>
      <c r="P125" s="182"/>
      <c r="Q125" s="182"/>
      <c r="R125" s="182"/>
      <c r="S125" s="182"/>
    </row>
    <row r="126" spans="1:19" x14ac:dyDescent="0.25">
      <c r="B126" s="77" t="s">
        <v>241</v>
      </c>
      <c r="C126" s="568" t="s">
        <v>74</v>
      </c>
      <c r="D126" s="182"/>
      <c r="E126" s="182"/>
      <c r="F126" s="182"/>
      <c r="G126" s="182"/>
      <c r="H126" s="182"/>
      <c r="I126" s="182"/>
      <c r="J126" s="182"/>
      <c r="K126" s="182"/>
      <c r="L126" s="182"/>
      <c r="M126" s="182"/>
      <c r="N126" s="182"/>
      <c r="O126" s="182"/>
      <c r="P126" s="182"/>
      <c r="Q126" s="182"/>
      <c r="R126" s="182"/>
      <c r="S126" s="182"/>
    </row>
    <row r="128" spans="1:19" x14ac:dyDescent="0.25">
      <c r="B128" s="75" t="s">
        <v>276</v>
      </c>
    </row>
    <row r="129" spans="2:20" ht="15" customHeight="1" x14ac:dyDescent="0.25">
      <c r="B129" s="77" t="s">
        <v>241</v>
      </c>
      <c r="C129" s="136" t="s">
        <v>300</v>
      </c>
      <c r="D129" s="136"/>
      <c r="E129" s="136"/>
      <c r="F129" s="136"/>
      <c r="G129" s="136"/>
      <c r="H129" s="136"/>
      <c r="I129" s="136"/>
      <c r="J129" s="136"/>
      <c r="K129" s="136"/>
      <c r="L129" s="136"/>
      <c r="M129" s="136"/>
      <c r="N129" s="136"/>
      <c r="O129" s="136"/>
      <c r="P129" s="136"/>
      <c r="Q129" s="136"/>
      <c r="R129" s="136"/>
      <c r="S129" s="136"/>
    </row>
    <row r="130" spans="2:20" x14ac:dyDescent="0.25">
      <c r="C130" s="136"/>
      <c r="D130" s="136"/>
      <c r="E130" s="136"/>
      <c r="F130" s="136"/>
      <c r="G130" s="136"/>
      <c r="H130" s="136"/>
      <c r="I130" s="136"/>
      <c r="J130" s="136"/>
      <c r="K130" s="136"/>
      <c r="L130" s="136"/>
      <c r="M130" s="136"/>
      <c r="N130" s="136"/>
      <c r="O130" s="136"/>
      <c r="P130" s="136"/>
      <c r="Q130" s="136"/>
      <c r="R130" s="136"/>
      <c r="S130" s="136"/>
    </row>
    <row r="131" spans="2:20" ht="14.45" customHeight="1" x14ac:dyDescent="0.25">
      <c r="B131" s="77" t="s">
        <v>241</v>
      </c>
      <c r="C131" s="568" t="s">
        <v>75</v>
      </c>
      <c r="D131" s="182"/>
      <c r="E131" s="182"/>
      <c r="F131" s="182"/>
      <c r="G131" s="182"/>
      <c r="H131" s="182"/>
      <c r="I131" s="182"/>
      <c r="J131" s="182"/>
      <c r="K131" s="182"/>
      <c r="L131" s="182"/>
      <c r="M131" s="182"/>
      <c r="N131" s="182"/>
      <c r="O131" s="182"/>
      <c r="P131" s="182"/>
      <c r="Q131" s="7"/>
      <c r="R131" s="7"/>
      <c r="S131" s="7"/>
    </row>
    <row r="132" spans="2:20" ht="14.45" customHeight="1" x14ac:dyDescent="0.25">
      <c r="B132" s="77" t="s">
        <v>241</v>
      </c>
      <c r="C132" s="568" t="s">
        <v>137</v>
      </c>
      <c r="D132" s="182"/>
      <c r="E132" s="182"/>
      <c r="F132" s="182"/>
      <c r="G132" s="182"/>
      <c r="H132" s="182"/>
      <c r="I132" s="182"/>
      <c r="J132" s="182"/>
      <c r="K132" s="182"/>
      <c r="L132" s="182"/>
      <c r="M132" s="182"/>
      <c r="N132" s="182"/>
      <c r="O132" s="182"/>
      <c r="P132" s="182"/>
      <c r="Q132" s="182"/>
      <c r="R132" s="7"/>
      <c r="S132" s="7"/>
    </row>
    <row r="133" spans="2:20" ht="14.45" customHeight="1" x14ac:dyDescent="0.25">
      <c r="B133" s="77" t="s">
        <v>241</v>
      </c>
      <c r="C133" s="568" t="s">
        <v>76</v>
      </c>
      <c r="D133" s="182"/>
      <c r="E133" s="182"/>
      <c r="F133" s="182"/>
      <c r="G133" s="182"/>
      <c r="H133" s="182"/>
      <c r="I133" s="182"/>
      <c r="J133" s="182"/>
      <c r="K133" s="182"/>
      <c r="L133" s="182"/>
      <c r="M133" s="182"/>
      <c r="N133" s="182"/>
      <c r="O133" s="182"/>
      <c r="P133" s="182"/>
      <c r="Q133" s="7"/>
      <c r="R133" s="7"/>
      <c r="S133" s="7"/>
    </row>
    <row r="134" spans="2:20" ht="14.45" customHeight="1" x14ac:dyDescent="0.25">
      <c r="B134" s="77" t="s">
        <v>241</v>
      </c>
      <c r="C134" s="568" t="s">
        <v>77</v>
      </c>
      <c r="D134" s="182"/>
      <c r="E134" s="182"/>
      <c r="F134" s="182"/>
      <c r="G134" s="182"/>
      <c r="H134" s="182"/>
      <c r="I134" s="182"/>
      <c r="J134" s="182"/>
      <c r="K134" s="182"/>
      <c r="L134" s="182"/>
      <c r="M134" s="182"/>
      <c r="N134" s="182"/>
      <c r="O134" s="182"/>
      <c r="P134" s="182"/>
      <c r="Q134" s="182"/>
      <c r="R134" s="7"/>
      <c r="S134" s="7"/>
    </row>
    <row r="135" spans="2:20" ht="14.45" customHeight="1" x14ac:dyDescent="0.25">
      <c r="B135" s="77" t="s">
        <v>241</v>
      </c>
      <c r="C135" s="568" t="s">
        <v>78</v>
      </c>
      <c r="D135" s="182"/>
      <c r="E135" s="182"/>
      <c r="F135" s="182"/>
      <c r="G135" s="182"/>
      <c r="H135" s="182"/>
      <c r="I135" s="182"/>
      <c r="J135" s="182"/>
      <c r="K135" s="182"/>
      <c r="L135" s="182"/>
      <c r="M135" s="182"/>
      <c r="N135" s="182"/>
      <c r="O135" s="182"/>
      <c r="P135" s="182"/>
      <c r="Q135" s="182"/>
      <c r="R135" s="7"/>
      <c r="S135" s="7"/>
    </row>
    <row r="137" spans="2:20" x14ac:dyDescent="0.25">
      <c r="B137" s="75" t="s">
        <v>79</v>
      </c>
    </row>
    <row r="138" spans="2:20" ht="15" customHeight="1" x14ac:dyDescent="0.25">
      <c r="B138" s="77" t="s">
        <v>241</v>
      </c>
      <c r="C138" s="136" t="s">
        <v>80</v>
      </c>
      <c r="D138" s="136"/>
      <c r="E138" s="136"/>
      <c r="F138" s="136"/>
      <c r="G138" s="136"/>
      <c r="H138" s="136"/>
      <c r="I138" s="136"/>
      <c r="J138" s="136"/>
      <c r="K138" s="136"/>
      <c r="L138" s="136"/>
      <c r="M138" s="136"/>
      <c r="N138" s="136"/>
      <c r="O138" s="136"/>
      <c r="P138" s="136"/>
      <c r="Q138" s="136"/>
      <c r="R138" s="136"/>
      <c r="S138" s="136"/>
    </row>
    <row r="139" spans="2:20" x14ac:dyDescent="0.25">
      <c r="B139" s="77"/>
      <c r="C139" s="136"/>
      <c r="D139" s="136"/>
      <c r="E139" s="136"/>
      <c r="F139" s="136"/>
      <c r="G139" s="136"/>
      <c r="H139" s="136"/>
      <c r="I139" s="136"/>
      <c r="J139" s="136"/>
      <c r="K139" s="136"/>
      <c r="L139" s="136"/>
      <c r="M139" s="136"/>
      <c r="N139" s="136"/>
      <c r="O139" s="136"/>
      <c r="P139" s="136"/>
      <c r="Q139" s="136"/>
      <c r="R139" s="136"/>
      <c r="S139" s="136"/>
    </row>
    <row r="140" spans="2:20" x14ac:dyDescent="0.25">
      <c r="B140" s="77" t="s">
        <v>241</v>
      </c>
      <c r="C140" s="568" t="s">
        <v>81</v>
      </c>
      <c r="D140" s="182"/>
      <c r="E140" s="182"/>
      <c r="F140" s="182"/>
      <c r="G140" s="182"/>
      <c r="H140" s="182"/>
      <c r="I140" s="182"/>
      <c r="J140" s="182"/>
      <c r="K140" s="182"/>
      <c r="L140" s="182"/>
      <c r="M140" s="182"/>
      <c r="N140" s="182"/>
      <c r="O140" s="182"/>
      <c r="P140" s="182"/>
      <c r="Q140" s="182"/>
      <c r="R140" s="182"/>
      <c r="S140" s="182"/>
    </row>
    <row r="141" spans="2:20" ht="15" customHeight="1" x14ac:dyDescent="0.25">
      <c r="B141" s="77" t="s">
        <v>241</v>
      </c>
      <c r="C141" s="136" t="s">
        <v>82</v>
      </c>
      <c r="D141" s="136"/>
      <c r="E141" s="136"/>
      <c r="F141" s="136"/>
      <c r="G141" s="136"/>
      <c r="H141" s="136"/>
      <c r="I141" s="136"/>
      <c r="J141" s="136"/>
      <c r="K141" s="136"/>
      <c r="L141" s="136"/>
      <c r="M141" s="136"/>
      <c r="N141" s="136"/>
      <c r="O141" s="136"/>
      <c r="P141" s="136"/>
      <c r="Q141" s="136"/>
      <c r="R141" s="136"/>
      <c r="S141" s="136"/>
    </row>
    <row r="142" spans="2:20" x14ac:dyDescent="0.25">
      <c r="B142" s="77"/>
      <c r="C142" s="136"/>
      <c r="D142" s="136"/>
      <c r="E142" s="136"/>
      <c r="F142" s="136"/>
      <c r="G142" s="136"/>
      <c r="H142" s="136"/>
      <c r="I142" s="136"/>
      <c r="J142" s="136"/>
      <c r="K142" s="136"/>
      <c r="L142" s="136"/>
      <c r="M142" s="136"/>
      <c r="N142" s="136"/>
      <c r="O142" s="136"/>
      <c r="P142" s="136"/>
      <c r="Q142" s="136"/>
      <c r="R142" s="136"/>
      <c r="S142" s="136"/>
    </row>
    <row r="143" spans="2:20" ht="15" customHeight="1" x14ac:dyDescent="0.25">
      <c r="B143" s="77" t="s">
        <v>241</v>
      </c>
      <c r="C143" s="136" t="s">
        <v>83</v>
      </c>
      <c r="D143" s="136"/>
      <c r="E143" s="136"/>
      <c r="F143" s="136"/>
      <c r="G143" s="136"/>
      <c r="H143" s="136"/>
      <c r="I143" s="136"/>
      <c r="J143" s="136"/>
      <c r="K143" s="136"/>
      <c r="L143" s="136"/>
      <c r="M143" s="136"/>
      <c r="N143" s="136"/>
      <c r="O143" s="136"/>
      <c r="P143" s="136"/>
      <c r="Q143" s="136"/>
      <c r="R143" s="136"/>
      <c r="S143" s="136"/>
      <c r="T143" s="7"/>
    </row>
    <row r="144" spans="2:20" x14ac:dyDescent="0.25">
      <c r="B144" s="77"/>
      <c r="C144" s="136"/>
      <c r="D144" s="136"/>
      <c r="E144" s="136"/>
      <c r="F144" s="136"/>
      <c r="G144" s="136"/>
      <c r="H144" s="136"/>
      <c r="I144" s="136"/>
      <c r="J144" s="136"/>
      <c r="K144" s="136"/>
      <c r="L144" s="136"/>
      <c r="M144" s="136"/>
      <c r="N144" s="136"/>
      <c r="O144" s="136"/>
      <c r="P144" s="136"/>
      <c r="Q144" s="136"/>
      <c r="R144" s="136"/>
      <c r="S144" s="136"/>
      <c r="T144" s="7"/>
    </row>
    <row r="145" spans="2:19" ht="15" customHeight="1" x14ac:dyDescent="0.25">
      <c r="B145" s="77" t="s">
        <v>241</v>
      </c>
      <c r="C145" s="136" t="s">
        <v>84</v>
      </c>
      <c r="D145" s="136"/>
      <c r="E145" s="136"/>
      <c r="F145" s="136"/>
      <c r="G145" s="136"/>
      <c r="H145" s="136"/>
      <c r="I145" s="136"/>
      <c r="J145" s="136"/>
      <c r="K145" s="136"/>
      <c r="L145" s="136"/>
      <c r="M145" s="136"/>
      <c r="N145" s="136"/>
      <c r="O145" s="136"/>
      <c r="P145" s="136"/>
      <c r="Q145" s="136"/>
      <c r="R145" s="136"/>
      <c r="S145" s="136"/>
    </row>
    <row r="146" spans="2:19" x14ac:dyDescent="0.25">
      <c r="B146" s="77"/>
      <c r="C146" s="136"/>
      <c r="D146" s="136"/>
      <c r="E146" s="136"/>
      <c r="F146" s="136"/>
      <c r="G146" s="136"/>
      <c r="H146" s="136"/>
      <c r="I146" s="136"/>
      <c r="J146" s="136"/>
      <c r="K146" s="136"/>
      <c r="L146" s="136"/>
      <c r="M146" s="136"/>
      <c r="N146" s="136"/>
      <c r="O146" s="136"/>
      <c r="P146" s="136"/>
      <c r="Q146" s="136"/>
      <c r="R146" s="136"/>
      <c r="S146" s="136"/>
    </row>
    <row r="147" spans="2:19" ht="15" customHeight="1" x14ac:dyDescent="0.25">
      <c r="B147" s="77" t="s">
        <v>241</v>
      </c>
      <c r="C147" s="136" t="s">
        <v>85</v>
      </c>
      <c r="D147" s="136"/>
      <c r="E147" s="136"/>
      <c r="F147" s="136"/>
      <c r="G147" s="136"/>
      <c r="H147" s="136"/>
      <c r="I147" s="136"/>
      <c r="J147" s="136"/>
      <c r="K147" s="136"/>
      <c r="L147" s="136"/>
      <c r="M147" s="136"/>
      <c r="N147" s="136"/>
      <c r="O147" s="136"/>
      <c r="P147" s="136"/>
      <c r="Q147" s="136"/>
      <c r="R147" s="136"/>
      <c r="S147" s="136"/>
    </row>
    <row r="148" spans="2:19" x14ac:dyDescent="0.25">
      <c r="B148" s="77"/>
      <c r="C148" s="136"/>
      <c r="D148" s="136"/>
      <c r="E148" s="136"/>
      <c r="F148" s="136"/>
      <c r="G148" s="136"/>
      <c r="H148" s="136"/>
      <c r="I148" s="136"/>
      <c r="J148" s="136"/>
      <c r="K148" s="136"/>
      <c r="L148" s="136"/>
      <c r="M148" s="136"/>
      <c r="N148" s="136"/>
      <c r="O148" s="136"/>
      <c r="P148" s="136"/>
      <c r="Q148" s="136"/>
      <c r="R148" s="136"/>
      <c r="S148" s="136"/>
    </row>
    <row r="149" spans="2:19" x14ac:dyDescent="0.25">
      <c r="C149" s="568"/>
      <c r="D149" s="182"/>
      <c r="E149" s="182"/>
      <c r="F149" s="182"/>
      <c r="G149" s="182"/>
      <c r="H149" s="182"/>
      <c r="I149" s="182"/>
      <c r="J149" s="182"/>
      <c r="K149" s="182"/>
      <c r="L149" s="182"/>
      <c r="M149" s="182"/>
      <c r="N149" s="182"/>
      <c r="O149" s="182"/>
      <c r="P149" s="182"/>
      <c r="Q149" s="182"/>
      <c r="R149" s="182"/>
      <c r="S149" s="182"/>
    </row>
    <row r="150" spans="2:19" x14ac:dyDescent="0.25">
      <c r="B150" s="566" t="s">
        <v>163</v>
      </c>
      <c r="C150" s="566"/>
      <c r="D150" s="566"/>
      <c r="E150" s="566"/>
      <c r="F150" s="566"/>
      <c r="G150" s="566"/>
      <c r="H150" s="566"/>
      <c r="I150" s="566"/>
      <c r="J150" s="566"/>
      <c r="K150" s="566"/>
      <c r="L150" s="566"/>
      <c r="M150" s="566"/>
      <c r="N150" s="566"/>
      <c r="O150" s="566"/>
      <c r="P150" s="566"/>
      <c r="Q150" s="566"/>
      <c r="R150" s="566"/>
      <c r="S150" s="566"/>
    </row>
    <row r="151" spans="2:19" x14ac:dyDescent="0.25">
      <c r="B151" s="566"/>
      <c r="C151" s="566"/>
      <c r="D151" s="566"/>
      <c r="E151" s="566"/>
      <c r="F151" s="566"/>
      <c r="G151" s="566"/>
      <c r="H151" s="566"/>
      <c r="I151" s="566"/>
      <c r="J151" s="566"/>
      <c r="K151" s="566"/>
      <c r="L151" s="566"/>
      <c r="M151" s="566"/>
      <c r="N151" s="566"/>
      <c r="O151" s="566"/>
      <c r="P151" s="566"/>
      <c r="Q151" s="566"/>
      <c r="R151" s="566"/>
      <c r="S151" s="566"/>
    </row>
    <row r="152" spans="2:19" x14ac:dyDescent="0.25">
      <c r="B152" s="77" t="s">
        <v>241</v>
      </c>
      <c r="C152" s="568" t="s">
        <v>86</v>
      </c>
      <c r="D152" s="182"/>
      <c r="E152" s="182"/>
      <c r="F152" s="182"/>
      <c r="G152" s="182"/>
      <c r="H152" s="182"/>
      <c r="I152" s="182"/>
      <c r="J152" s="182"/>
      <c r="K152" s="182"/>
      <c r="L152" s="182"/>
      <c r="M152" s="182"/>
      <c r="N152" s="182"/>
      <c r="O152" s="182"/>
      <c r="P152" s="182"/>
      <c r="Q152" s="182"/>
      <c r="R152" s="182"/>
      <c r="S152" s="182"/>
    </row>
    <row r="153" spans="2:19" x14ac:dyDescent="0.25">
      <c r="B153" s="77" t="s">
        <v>241</v>
      </c>
      <c r="C153" s="568" t="s">
        <v>87</v>
      </c>
      <c r="D153" s="182"/>
      <c r="E153" s="182"/>
      <c r="F153" s="182"/>
      <c r="G153" s="182"/>
      <c r="H153" s="182"/>
      <c r="I153" s="182"/>
      <c r="J153" s="182"/>
      <c r="K153" s="182"/>
      <c r="L153" s="182"/>
      <c r="M153" s="182"/>
      <c r="N153" s="182"/>
      <c r="O153" s="182"/>
      <c r="P153" s="182"/>
      <c r="Q153" s="182"/>
      <c r="R153" s="182"/>
      <c r="S153" s="182"/>
    </row>
    <row r="154" spans="2:19" x14ac:dyDescent="0.25">
      <c r="B154" s="77" t="s">
        <v>241</v>
      </c>
      <c r="C154" s="568" t="s">
        <v>277</v>
      </c>
      <c r="D154" s="182"/>
      <c r="E154" s="182"/>
      <c r="F154" s="182"/>
      <c r="G154" s="182"/>
      <c r="H154" s="182"/>
      <c r="I154" s="182"/>
      <c r="J154" s="182"/>
      <c r="K154" s="182"/>
      <c r="L154" s="182"/>
      <c r="M154" s="182"/>
      <c r="N154" s="182"/>
      <c r="O154" s="182"/>
      <c r="P154" s="182"/>
      <c r="Q154" s="182"/>
      <c r="R154" s="182"/>
      <c r="S154" s="182"/>
    </row>
    <row r="155" spans="2:19" ht="15" customHeight="1" x14ac:dyDescent="0.25">
      <c r="B155" s="77" t="s">
        <v>241</v>
      </c>
      <c r="C155" s="136" t="s">
        <v>278</v>
      </c>
      <c r="D155" s="136"/>
      <c r="E155" s="136"/>
      <c r="F155" s="136"/>
      <c r="G155" s="136"/>
      <c r="H155" s="136"/>
      <c r="I155" s="136"/>
      <c r="J155" s="136"/>
      <c r="K155" s="136"/>
      <c r="L155" s="136"/>
      <c r="M155" s="136"/>
      <c r="N155" s="136"/>
      <c r="O155" s="136"/>
      <c r="P155" s="136"/>
      <c r="Q155" s="136"/>
      <c r="R155" s="136"/>
      <c r="S155" s="136"/>
    </row>
    <row r="156" spans="2:19" x14ac:dyDescent="0.25">
      <c r="B156" s="77"/>
      <c r="C156" s="136"/>
      <c r="D156" s="136"/>
      <c r="E156" s="136"/>
      <c r="F156" s="136"/>
      <c r="G156" s="136"/>
      <c r="H156" s="136"/>
      <c r="I156" s="136"/>
      <c r="J156" s="136"/>
      <c r="K156" s="136"/>
      <c r="L156" s="136"/>
      <c r="M156" s="136"/>
      <c r="N156" s="136"/>
      <c r="O156" s="136"/>
      <c r="P156" s="136"/>
      <c r="Q156" s="136"/>
      <c r="R156" s="136"/>
      <c r="S156" s="136"/>
    </row>
    <row r="157" spans="2:19" ht="15" customHeight="1" x14ac:dyDescent="0.25">
      <c r="B157" s="77" t="s">
        <v>241</v>
      </c>
      <c r="C157" s="136" t="s">
        <v>279</v>
      </c>
      <c r="D157" s="136"/>
      <c r="E157" s="136"/>
      <c r="F157" s="136"/>
      <c r="G157" s="136"/>
      <c r="H157" s="136"/>
      <c r="I157" s="136"/>
      <c r="J157" s="136"/>
      <c r="K157" s="136"/>
      <c r="L157" s="136"/>
      <c r="M157" s="136"/>
      <c r="N157" s="136"/>
      <c r="O157" s="136"/>
      <c r="P157" s="136"/>
      <c r="Q157" s="136"/>
      <c r="R157" s="136"/>
      <c r="S157" s="136"/>
    </row>
    <row r="158" spans="2:19" x14ac:dyDescent="0.25">
      <c r="B158" s="77"/>
      <c r="C158" s="136"/>
      <c r="D158" s="136"/>
      <c r="E158" s="136"/>
      <c r="F158" s="136"/>
      <c r="G158" s="136"/>
      <c r="H158" s="136"/>
      <c r="I158" s="136"/>
      <c r="J158" s="136"/>
      <c r="K158" s="136"/>
      <c r="L158" s="136"/>
      <c r="M158" s="136"/>
      <c r="N158" s="136"/>
      <c r="O158" s="136"/>
      <c r="P158" s="136"/>
      <c r="Q158" s="136"/>
      <c r="R158" s="136"/>
      <c r="S158" s="136"/>
    </row>
    <row r="159" spans="2:19" ht="15" customHeight="1" x14ac:dyDescent="0.25">
      <c r="B159" s="77" t="s">
        <v>241</v>
      </c>
      <c r="C159" s="136" t="s">
        <v>88</v>
      </c>
      <c r="D159" s="136"/>
      <c r="E159" s="136"/>
      <c r="F159" s="136"/>
      <c r="G159" s="136"/>
      <c r="H159" s="136"/>
      <c r="I159" s="136"/>
      <c r="J159" s="136"/>
      <c r="K159" s="136"/>
      <c r="L159" s="136"/>
      <c r="M159" s="136"/>
      <c r="N159" s="136"/>
      <c r="O159" s="136"/>
      <c r="P159" s="136"/>
      <c r="Q159" s="136"/>
      <c r="R159" s="136"/>
      <c r="S159" s="136"/>
    </row>
    <row r="160" spans="2:19" x14ac:dyDescent="0.25">
      <c r="B160" s="77"/>
      <c r="C160" s="136"/>
      <c r="D160" s="136"/>
      <c r="E160" s="136"/>
      <c r="F160" s="136"/>
      <c r="G160" s="136"/>
      <c r="H160" s="136"/>
      <c r="I160" s="136"/>
      <c r="J160" s="136"/>
      <c r="K160" s="136"/>
      <c r="L160" s="136"/>
      <c r="M160" s="136"/>
      <c r="N160" s="136"/>
      <c r="O160" s="136"/>
      <c r="P160" s="136"/>
      <c r="Q160" s="136"/>
      <c r="R160" s="136"/>
      <c r="S160" s="136"/>
    </row>
    <row r="161" spans="2:20" x14ac:dyDescent="0.25">
      <c r="B161" s="77" t="s">
        <v>241</v>
      </c>
      <c r="C161" s="568" t="s">
        <v>89</v>
      </c>
      <c r="D161" s="182"/>
      <c r="E161" s="182"/>
      <c r="F161" s="182"/>
      <c r="G161" s="182"/>
      <c r="H161" s="182"/>
      <c r="I161" s="182"/>
      <c r="J161" s="182"/>
      <c r="K161" s="182"/>
      <c r="L161" s="182"/>
      <c r="M161" s="182"/>
      <c r="N161" s="182"/>
      <c r="O161" s="182"/>
      <c r="P161" s="182"/>
      <c r="Q161" s="182"/>
      <c r="R161" s="182"/>
      <c r="S161" s="182"/>
    </row>
    <row r="162" spans="2:20" x14ac:dyDescent="0.25">
      <c r="B162" s="77" t="s">
        <v>241</v>
      </c>
      <c r="C162" s="568" t="s">
        <v>90</v>
      </c>
      <c r="D162" s="182"/>
      <c r="E162" s="182"/>
      <c r="F162" s="182"/>
      <c r="G162" s="182"/>
      <c r="H162" s="182"/>
      <c r="I162" s="182"/>
      <c r="J162" s="182"/>
      <c r="K162" s="182"/>
      <c r="L162" s="182"/>
      <c r="M162" s="182"/>
      <c r="N162" s="182"/>
      <c r="O162" s="182"/>
      <c r="P162" s="182"/>
      <c r="Q162" s="182"/>
      <c r="R162" s="182"/>
      <c r="S162" s="182"/>
    </row>
    <row r="163" spans="2:20" x14ac:dyDescent="0.25">
      <c r="B163" s="77" t="s">
        <v>241</v>
      </c>
      <c r="C163" s="568" t="s">
        <v>91</v>
      </c>
      <c r="D163" s="182"/>
      <c r="E163" s="182"/>
      <c r="F163" s="182"/>
      <c r="G163" s="182"/>
      <c r="H163" s="182"/>
      <c r="I163" s="182"/>
      <c r="J163" s="182"/>
      <c r="K163" s="182"/>
      <c r="L163" s="182"/>
      <c r="M163" s="182"/>
      <c r="N163" s="182"/>
      <c r="O163" s="182"/>
      <c r="P163" s="182"/>
      <c r="Q163" s="182"/>
      <c r="R163" s="182"/>
      <c r="S163" s="182"/>
    </row>
    <row r="164" spans="2:20" x14ac:dyDescent="0.25">
      <c r="B164" s="77" t="s">
        <v>241</v>
      </c>
      <c r="C164" s="568" t="s">
        <v>92</v>
      </c>
      <c r="D164" s="182"/>
      <c r="E164" s="182"/>
      <c r="F164" s="182"/>
      <c r="G164" s="182"/>
      <c r="H164" s="182"/>
      <c r="I164" s="182"/>
      <c r="J164" s="182"/>
      <c r="K164" s="182"/>
      <c r="L164" s="182"/>
      <c r="M164" s="182"/>
      <c r="N164" s="182"/>
      <c r="O164" s="182"/>
      <c r="P164" s="182"/>
      <c r="Q164" s="182"/>
      <c r="R164" s="182"/>
      <c r="S164" s="182"/>
      <c r="T164" s="182"/>
    </row>
    <row r="165" spans="2:20" x14ac:dyDescent="0.25">
      <c r="C165" s="568"/>
      <c r="D165" s="182"/>
      <c r="E165" s="182"/>
      <c r="F165" s="182"/>
      <c r="G165" s="182"/>
      <c r="H165" s="182"/>
      <c r="I165" s="182"/>
      <c r="J165" s="182"/>
      <c r="K165" s="182"/>
      <c r="L165" s="182"/>
      <c r="M165" s="182"/>
      <c r="N165" s="182"/>
      <c r="O165" s="182"/>
      <c r="P165" s="182"/>
      <c r="Q165" s="182"/>
      <c r="R165" s="182"/>
      <c r="S165" s="182"/>
      <c r="T165" s="182"/>
    </row>
    <row r="166" spans="2:20" x14ac:dyDescent="0.25">
      <c r="B166" s="75" t="s">
        <v>93</v>
      </c>
      <c r="C166" s="7"/>
      <c r="D166" s="7"/>
      <c r="E166" s="7"/>
      <c r="F166" s="7"/>
      <c r="G166" s="7"/>
      <c r="H166" s="7"/>
      <c r="I166" s="7"/>
      <c r="J166" s="7"/>
      <c r="K166" s="7"/>
      <c r="L166" s="7"/>
      <c r="M166" s="7"/>
      <c r="N166" s="7"/>
      <c r="O166" s="7"/>
      <c r="P166" s="7"/>
      <c r="Q166" s="7"/>
      <c r="R166" s="7"/>
      <c r="S166" s="7"/>
      <c r="T166" s="8"/>
    </row>
    <row r="167" spans="2:20" x14ac:dyDescent="0.25">
      <c r="B167" s="77" t="s">
        <v>241</v>
      </c>
      <c r="C167" s="568" t="s">
        <v>94</v>
      </c>
      <c r="D167" s="182"/>
      <c r="E167" s="182"/>
      <c r="F167" s="182"/>
      <c r="G167" s="182"/>
      <c r="H167" s="182"/>
      <c r="I167" s="182"/>
      <c r="J167" s="182"/>
      <c r="K167" s="182"/>
      <c r="L167" s="182"/>
      <c r="M167" s="182"/>
      <c r="N167" s="182"/>
      <c r="O167" s="182"/>
      <c r="P167" s="182"/>
      <c r="Q167" s="182"/>
      <c r="R167" s="182"/>
      <c r="S167" s="182"/>
      <c r="T167" s="182"/>
    </row>
    <row r="168" spans="2:20" ht="15" customHeight="1" x14ac:dyDescent="0.25">
      <c r="B168" s="77" t="s">
        <v>241</v>
      </c>
      <c r="C168" s="136" t="s">
        <v>95</v>
      </c>
      <c r="D168" s="136"/>
      <c r="E168" s="136"/>
      <c r="F168" s="136"/>
      <c r="G168" s="136"/>
      <c r="H168" s="136"/>
      <c r="I168" s="136"/>
      <c r="J168" s="136"/>
      <c r="K168" s="136"/>
      <c r="L168" s="136"/>
      <c r="M168" s="136"/>
      <c r="N168" s="136"/>
      <c r="O168" s="136"/>
      <c r="P168" s="136"/>
      <c r="Q168" s="136"/>
      <c r="R168" s="136"/>
      <c r="S168" s="136"/>
      <c r="T168" s="7"/>
    </row>
    <row r="169" spans="2:20" x14ac:dyDescent="0.25">
      <c r="B169" s="77"/>
      <c r="C169" s="136"/>
      <c r="D169" s="136"/>
      <c r="E169" s="136"/>
      <c r="F169" s="136"/>
      <c r="G169" s="136"/>
      <c r="H169" s="136"/>
      <c r="I169" s="136"/>
      <c r="J169" s="136"/>
      <c r="K169" s="136"/>
      <c r="L169" s="136"/>
      <c r="M169" s="136"/>
      <c r="N169" s="136"/>
      <c r="O169" s="136"/>
      <c r="P169" s="136"/>
      <c r="Q169" s="136"/>
      <c r="R169" s="136"/>
      <c r="S169" s="136"/>
      <c r="T169" s="7"/>
    </row>
    <row r="170" spans="2:20" ht="15" customHeight="1" x14ac:dyDescent="0.25">
      <c r="B170" s="77" t="s">
        <v>241</v>
      </c>
      <c r="C170" s="136" t="s">
        <v>96</v>
      </c>
      <c r="D170" s="136"/>
      <c r="E170" s="136"/>
      <c r="F170" s="136"/>
      <c r="G170" s="136"/>
      <c r="H170" s="136"/>
      <c r="I170" s="136"/>
      <c r="J170" s="136"/>
      <c r="K170" s="136"/>
      <c r="L170" s="136"/>
      <c r="M170" s="136"/>
      <c r="N170" s="136"/>
      <c r="O170" s="136"/>
      <c r="P170" s="136"/>
      <c r="Q170" s="136"/>
      <c r="R170" s="136"/>
      <c r="S170" s="136"/>
      <c r="T170" s="7"/>
    </row>
    <row r="171" spans="2:20" x14ac:dyDescent="0.25">
      <c r="B171" s="77"/>
      <c r="C171" s="136"/>
      <c r="D171" s="136"/>
      <c r="E171" s="136"/>
      <c r="F171" s="136"/>
      <c r="G171" s="136"/>
      <c r="H171" s="136"/>
      <c r="I171" s="136"/>
      <c r="J171" s="136"/>
      <c r="K171" s="136"/>
      <c r="L171" s="136"/>
      <c r="M171" s="136"/>
      <c r="N171" s="136"/>
      <c r="O171" s="136"/>
      <c r="P171" s="136"/>
      <c r="Q171" s="136"/>
      <c r="R171" s="136"/>
      <c r="S171" s="136"/>
      <c r="T171" s="7"/>
    </row>
    <row r="172" spans="2:20" ht="15" customHeight="1" x14ac:dyDescent="0.25">
      <c r="B172" s="77" t="s">
        <v>241</v>
      </c>
      <c r="C172" s="136" t="s">
        <v>97</v>
      </c>
      <c r="D172" s="136"/>
      <c r="E172" s="136"/>
      <c r="F172" s="136"/>
      <c r="G172" s="136"/>
      <c r="H172" s="136"/>
      <c r="I172" s="136"/>
      <c r="J172" s="136"/>
      <c r="K172" s="136"/>
      <c r="L172" s="136"/>
      <c r="M172" s="136"/>
      <c r="N172" s="136"/>
      <c r="O172" s="136"/>
      <c r="P172" s="136"/>
      <c r="Q172" s="136"/>
      <c r="R172" s="136"/>
      <c r="S172" s="136"/>
      <c r="T172" s="7"/>
    </row>
    <row r="173" spans="2:20" ht="15" customHeight="1" x14ac:dyDescent="0.25">
      <c r="B173" s="77" t="s">
        <v>241</v>
      </c>
      <c r="C173" s="568" t="s">
        <v>98</v>
      </c>
      <c r="D173" s="568"/>
      <c r="E173" s="568"/>
      <c r="F173" s="568"/>
      <c r="G173" s="568"/>
      <c r="H173" s="568"/>
      <c r="I173" s="568"/>
      <c r="J173" s="568"/>
      <c r="K173" s="568"/>
      <c r="L173" s="568"/>
      <c r="M173" s="568"/>
      <c r="N173" s="568"/>
      <c r="O173" s="568"/>
      <c r="P173" s="568"/>
      <c r="Q173" s="568"/>
      <c r="R173" s="568"/>
      <c r="S173" s="568"/>
      <c r="T173" s="7"/>
    </row>
    <row r="174" spans="2:20" ht="15" customHeight="1" x14ac:dyDescent="0.25">
      <c r="B174" s="77" t="s">
        <v>241</v>
      </c>
      <c r="C174" s="136" t="s">
        <v>280</v>
      </c>
      <c r="D174" s="136"/>
      <c r="E174" s="136"/>
      <c r="F174" s="136"/>
      <c r="G174" s="136"/>
      <c r="H174" s="136"/>
      <c r="I174" s="136"/>
      <c r="J174" s="136"/>
      <c r="K174" s="136"/>
      <c r="L174" s="136"/>
      <c r="M174" s="136"/>
      <c r="N174" s="136"/>
      <c r="O174" s="136"/>
      <c r="P174" s="136"/>
      <c r="Q174" s="136"/>
      <c r="R174" s="136"/>
      <c r="S174" s="136"/>
      <c r="T174" s="7"/>
    </row>
    <row r="175" spans="2:20" ht="15" customHeight="1" x14ac:dyDescent="0.25">
      <c r="B175" s="77"/>
      <c r="C175" s="136"/>
      <c r="D175" s="136"/>
      <c r="E175" s="136"/>
      <c r="F175" s="136"/>
      <c r="G175" s="136"/>
      <c r="H175" s="136"/>
      <c r="I175" s="136"/>
      <c r="J175" s="136"/>
      <c r="K175" s="136"/>
      <c r="L175" s="136"/>
      <c r="M175" s="136"/>
      <c r="N175" s="136"/>
      <c r="O175" s="136"/>
      <c r="P175" s="136"/>
      <c r="Q175" s="136"/>
      <c r="R175" s="136"/>
      <c r="S175" s="136"/>
      <c r="T175" s="7"/>
    </row>
    <row r="176" spans="2:20" ht="15" customHeight="1" x14ac:dyDescent="0.25">
      <c r="B176" s="77" t="s">
        <v>241</v>
      </c>
      <c r="C176" s="136" t="s">
        <v>99</v>
      </c>
      <c r="D176" s="136"/>
      <c r="E176" s="136"/>
      <c r="F176" s="136"/>
      <c r="G176" s="136"/>
      <c r="H176" s="136"/>
      <c r="I176" s="136"/>
      <c r="J176" s="136"/>
      <c r="K176" s="136"/>
      <c r="L176" s="136"/>
      <c r="M176" s="136"/>
      <c r="N176" s="136"/>
      <c r="O176" s="136"/>
      <c r="P176" s="136"/>
      <c r="Q176" s="136"/>
      <c r="R176" s="136"/>
      <c r="S176" s="136"/>
      <c r="T176" s="7"/>
    </row>
    <row r="177" spans="2:20" ht="15" customHeight="1" x14ac:dyDescent="0.25">
      <c r="B177" s="77"/>
      <c r="C177" s="136"/>
      <c r="D177" s="136"/>
      <c r="E177" s="136"/>
      <c r="F177" s="136"/>
      <c r="G177" s="136"/>
      <c r="H177" s="136"/>
      <c r="I177" s="136"/>
      <c r="J177" s="136"/>
      <c r="K177" s="136"/>
      <c r="L177" s="136"/>
      <c r="M177" s="136"/>
      <c r="N177" s="136"/>
      <c r="O177" s="136"/>
      <c r="P177" s="136"/>
      <c r="Q177" s="136"/>
      <c r="R177" s="136"/>
      <c r="S177" s="136"/>
      <c r="T177" s="7"/>
    </row>
    <row r="178" spans="2:20" ht="15" customHeight="1" x14ac:dyDescent="0.25">
      <c r="B178" s="77" t="s">
        <v>241</v>
      </c>
      <c r="C178" s="136" t="s">
        <v>100</v>
      </c>
      <c r="D178" s="136"/>
      <c r="E178" s="136"/>
      <c r="F178" s="136"/>
      <c r="G178" s="136"/>
      <c r="H178" s="136"/>
      <c r="I178" s="136"/>
      <c r="J178" s="136"/>
      <c r="K178" s="136"/>
      <c r="L178" s="136"/>
      <c r="M178" s="136"/>
      <c r="N178" s="136"/>
      <c r="O178" s="136"/>
      <c r="P178" s="136"/>
      <c r="Q178" s="136"/>
      <c r="R178" s="136"/>
      <c r="S178" s="136"/>
      <c r="T178" s="7"/>
    </row>
    <row r="179" spans="2:20" ht="15" customHeight="1" x14ac:dyDescent="0.25">
      <c r="B179" s="77"/>
      <c r="C179" s="136"/>
      <c r="D179" s="136"/>
      <c r="E179" s="136"/>
      <c r="F179" s="136"/>
      <c r="G179" s="136"/>
      <c r="H179" s="136"/>
      <c r="I179" s="136"/>
      <c r="J179" s="136"/>
      <c r="K179" s="136"/>
      <c r="L179" s="136"/>
      <c r="M179" s="136"/>
      <c r="N179" s="136"/>
      <c r="O179" s="136"/>
      <c r="P179" s="136"/>
      <c r="Q179" s="136"/>
      <c r="R179" s="136"/>
      <c r="S179" s="136"/>
      <c r="T179" s="7"/>
    </row>
    <row r="180" spans="2:20" ht="15" customHeight="1" x14ac:dyDescent="0.25">
      <c r="B180" s="77" t="s">
        <v>241</v>
      </c>
      <c r="C180" s="136" t="s">
        <v>101</v>
      </c>
      <c r="D180" s="136"/>
      <c r="E180" s="136"/>
      <c r="F180" s="136"/>
      <c r="G180" s="136"/>
      <c r="H180" s="136"/>
      <c r="I180" s="136"/>
      <c r="J180" s="136"/>
      <c r="K180" s="136"/>
      <c r="L180" s="136"/>
      <c r="M180" s="136"/>
      <c r="N180" s="136"/>
      <c r="O180" s="136"/>
      <c r="P180" s="136"/>
      <c r="Q180" s="136"/>
      <c r="R180" s="136"/>
      <c r="S180" s="136"/>
      <c r="T180" s="7"/>
    </row>
    <row r="181" spans="2:20" ht="15" customHeight="1" x14ac:dyDescent="0.25">
      <c r="B181" s="77"/>
      <c r="C181" s="136"/>
      <c r="D181" s="136"/>
      <c r="E181" s="136"/>
      <c r="F181" s="136"/>
      <c r="G181" s="136"/>
      <c r="H181" s="136"/>
      <c r="I181" s="136"/>
      <c r="J181" s="136"/>
      <c r="K181" s="136"/>
      <c r="L181" s="136"/>
      <c r="M181" s="136"/>
      <c r="N181" s="136"/>
      <c r="O181" s="136"/>
      <c r="P181" s="136"/>
      <c r="Q181" s="136"/>
      <c r="R181" s="136"/>
      <c r="S181" s="136"/>
      <c r="T181" s="7"/>
    </row>
    <row r="182" spans="2:20" ht="15" customHeight="1" x14ac:dyDescent="0.25">
      <c r="B182" s="77" t="s">
        <v>241</v>
      </c>
      <c r="C182" s="136" t="s">
        <v>138</v>
      </c>
      <c r="D182" s="136"/>
      <c r="E182" s="136"/>
      <c r="F182" s="136"/>
      <c r="G182" s="136"/>
      <c r="H182" s="136"/>
      <c r="I182" s="136"/>
      <c r="J182" s="136"/>
      <c r="K182" s="136"/>
      <c r="L182" s="136"/>
      <c r="M182" s="136"/>
      <c r="N182" s="136"/>
      <c r="O182" s="136"/>
      <c r="P182" s="136"/>
      <c r="Q182" s="136"/>
      <c r="R182" s="136"/>
      <c r="S182" s="136"/>
      <c r="T182" s="7"/>
    </row>
    <row r="183" spans="2:20" ht="15" customHeight="1" x14ac:dyDescent="0.25">
      <c r="B183" s="77"/>
      <c r="C183" s="136"/>
      <c r="D183" s="136"/>
      <c r="E183" s="136"/>
      <c r="F183" s="136"/>
      <c r="G183" s="136"/>
      <c r="H183" s="136"/>
      <c r="I183" s="136"/>
      <c r="J183" s="136"/>
      <c r="K183" s="136"/>
      <c r="L183" s="136"/>
      <c r="M183" s="136"/>
      <c r="N183" s="136"/>
      <c r="O183" s="136"/>
      <c r="P183" s="136"/>
      <c r="Q183" s="136"/>
      <c r="R183" s="136"/>
      <c r="S183" s="136"/>
      <c r="T183" s="7"/>
    </row>
    <row r="184" spans="2:20" x14ac:dyDescent="0.25">
      <c r="C184" s="7"/>
      <c r="D184" s="7"/>
      <c r="E184" s="7"/>
      <c r="F184" s="7"/>
      <c r="G184" s="7"/>
      <c r="H184" s="7"/>
      <c r="I184" s="7"/>
      <c r="J184" s="7"/>
      <c r="K184" s="7"/>
      <c r="L184" s="7"/>
      <c r="M184" s="7"/>
      <c r="N184" s="7"/>
      <c r="O184" s="7"/>
      <c r="P184" s="7"/>
      <c r="Q184" s="7"/>
      <c r="R184" s="7"/>
      <c r="S184" s="7"/>
      <c r="T184" s="7"/>
    </row>
    <row r="185" spans="2:20" x14ac:dyDescent="0.25">
      <c r="B185" s="570" t="s">
        <v>102</v>
      </c>
      <c r="C185" s="571"/>
      <c r="D185" s="571"/>
      <c r="E185" s="571"/>
      <c r="F185" s="571"/>
      <c r="G185" s="571"/>
      <c r="H185" s="571"/>
      <c r="I185" s="571"/>
      <c r="J185" s="571"/>
      <c r="K185" s="571"/>
      <c r="L185" s="571"/>
      <c r="M185" s="571"/>
      <c r="N185" s="571"/>
      <c r="O185" s="571"/>
      <c r="P185" s="571"/>
      <c r="Q185" s="571"/>
      <c r="R185" s="571"/>
      <c r="S185" s="571"/>
    </row>
    <row r="186" spans="2:20" x14ac:dyDescent="0.25">
      <c r="B186" s="77" t="s">
        <v>241</v>
      </c>
      <c r="C186" s="568" t="s">
        <v>103</v>
      </c>
      <c r="D186" s="182"/>
      <c r="E186" s="182"/>
      <c r="F186" s="182"/>
      <c r="G186" s="182"/>
      <c r="H186" s="182"/>
      <c r="I186" s="182"/>
      <c r="J186" s="182"/>
      <c r="K186" s="182"/>
      <c r="L186" s="182"/>
      <c r="M186" s="182"/>
      <c r="N186" s="182"/>
      <c r="O186" s="182"/>
      <c r="P186" s="182"/>
      <c r="Q186" s="182"/>
      <c r="R186" s="182"/>
      <c r="S186" s="182"/>
      <c r="T186" s="182"/>
    </row>
    <row r="187" spans="2:20" x14ac:dyDescent="0.25">
      <c r="B187" s="77" t="s">
        <v>241</v>
      </c>
      <c r="C187" s="568" t="s">
        <v>104</v>
      </c>
      <c r="D187" s="182"/>
      <c r="E187" s="182"/>
      <c r="F187" s="182"/>
      <c r="G187" s="182"/>
      <c r="H187" s="182"/>
      <c r="I187" s="182"/>
      <c r="J187" s="182"/>
      <c r="K187" s="182"/>
      <c r="L187" s="182"/>
      <c r="M187" s="182"/>
      <c r="N187" s="182"/>
      <c r="O187" s="182"/>
      <c r="P187" s="182"/>
      <c r="Q187" s="182"/>
      <c r="R187" s="182"/>
      <c r="S187" s="182"/>
      <c r="T187" s="182"/>
    </row>
    <row r="188" spans="2:20" x14ac:dyDescent="0.25">
      <c r="B188" s="77" t="s">
        <v>241</v>
      </c>
      <c r="C188" s="568" t="s">
        <v>105</v>
      </c>
      <c r="D188" s="182"/>
      <c r="E188" s="182"/>
      <c r="F188" s="182"/>
      <c r="G188" s="182"/>
      <c r="H188" s="182"/>
      <c r="I188" s="182"/>
      <c r="J188" s="182"/>
      <c r="K188" s="182"/>
      <c r="L188" s="182"/>
      <c r="M188" s="182"/>
      <c r="N188" s="182"/>
      <c r="O188" s="182"/>
      <c r="P188" s="182"/>
      <c r="Q188" s="182"/>
      <c r="R188" s="182"/>
      <c r="S188" s="182"/>
      <c r="T188" s="182"/>
    </row>
    <row r="189" spans="2:20" x14ac:dyDescent="0.25">
      <c r="B189" s="77" t="s">
        <v>241</v>
      </c>
      <c r="C189" s="568" t="s">
        <v>281</v>
      </c>
      <c r="D189" s="182"/>
      <c r="E189" s="182"/>
      <c r="F189" s="182"/>
      <c r="G189" s="182"/>
      <c r="H189" s="182"/>
      <c r="I189" s="182"/>
      <c r="J189" s="182"/>
      <c r="K189" s="182"/>
      <c r="L189" s="182"/>
      <c r="M189" s="182"/>
      <c r="N189" s="182"/>
      <c r="O189" s="182"/>
      <c r="P189" s="182"/>
      <c r="Q189" s="182"/>
      <c r="R189" s="182"/>
      <c r="S189" s="182"/>
      <c r="T189" s="182"/>
    </row>
    <row r="190" spans="2:20" x14ac:dyDescent="0.25">
      <c r="B190" s="77" t="s">
        <v>241</v>
      </c>
      <c r="C190" s="568" t="s">
        <v>282</v>
      </c>
      <c r="D190" s="182"/>
      <c r="E190" s="182"/>
      <c r="F190" s="182"/>
      <c r="G190" s="182"/>
      <c r="H190" s="182"/>
      <c r="I190" s="182"/>
      <c r="J190" s="182"/>
      <c r="K190" s="182"/>
      <c r="L190" s="182"/>
      <c r="M190" s="182"/>
      <c r="N190" s="182"/>
      <c r="O190" s="182"/>
      <c r="P190" s="182"/>
      <c r="Q190" s="182"/>
      <c r="R190" s="182"/>
      <c r="S190" s="182"/>
      <c r="T190" s="182"/>
    </row>
    <row r="191" spans="2:20" x14ac:dyDescent="0.25">
      <c r="B191" s="77" t="s">
        <v>241</v>
      </c>
      <c r="C191" s="568" t="s">
        <v>106</v>
      </c>
      <c r="D191" s="182"/>
      <c r="E191" s="182"/>
      <c r="F191" s="182"/>
      <c r="G191" s="182"/>
      <c r="H191" s="182"/>
      <c r="I191" s="182"/>
      <c r="J191" s="182"/>
      <c r="K191" s="182"/>
      <c r="L191" s="182"/>
      <c r="M191" s="182"/>
      <c r="N191" s="182"/>
      <c r="O191" s="182"/>
      <c r="P191" s="182"/>
      <c r="Q191" s="182"/>
      <c r="R191" s="182"/>
      <c r="S191" s="182"/>
      <c r="T191" s="182"/>
    </row>
    <row r="192" spans="2:20" x14ac:dyDescent="0.25">
      <c r="B192" s="77" t="s">
        <v>241</v>
      </c>
      <c r="C192" s="568" t="s">
        <v>283</v>
      </c>
      <c r="D192" s="182"/>
      <c r="E192" s="182"/>
      <c r="F192" s="182"/>
      <c r="G192" s="182"/>
      <c r="H192" s="182"/>
      <c r="I192" s="182"/>
      <c r="J192" s="182"/>
      <c r="K192" s="182"/>
      <c r="L192" s="182"/>
      <c r="M192" s="182"/>
      <c r="N192" s="182"/>
      <c r="O192" s="182"/>
      <c r="P192" s="182"/>
      <c r="Q192" s="182"/>
      <c r="R192" s="182"/>
      <c r="S192" s="182"/>
      <c r="T192" s="182"/>
    </row>
    <row r="193" spans="2:20" x14ac:dyDescent="0.25">
      <c r="C193" s="568"/>
      <c r="D193" s="182"/>
      <c r="E193" s="182"/>
      <c r="F193" s="182"/>
      <c r="G193" s="182"/>
      <c r="H193" s="182"/>
      <c r="I193" s="182"/>
      <c r="J193" s="182"/>
      <c r="K193" s="182"/>
      <c r="L193" s="182"/>
      <c r="M193" s="182"/>
      <c r="N193" s="182"/>
      <c r="O193" s="182"/>
      <c r="P193" s="182"/>
      <c r="Q193" s="182"/>
      <c r="R193" s="182"/>
      <c r="S193" s="182"/>
      <c r="T193" s="182"/>
    </row>
    <row r="194" spans="2:20" x14ac:dyDescent="0.25">
      <c r="B194" s="75" t="s">
        <v>107</v>
      </c>
      <c r="C194" s="7"/>
      <c r="D194" s="7"/>
      <c r="E194" s="7"/>
      <c r="F194" s="7"/>
      <c r="G194" s="7"/>
      <c r="H194" s="7"/>
      <c r="I194" s="7"/>
      <c r="J194" s="7"/>
      <c r="K194" s="7"/>
      <c r="L194" s="7"/>
      <c r="M194" s="7"/>
      <c r="N194" s="7"/>
      <c r="O194" s="7"/>
      <c r="P194" s="7"/>
      <c r="Q194" s="7"/>
      <c r="R194" s="7"/>
      <c r="S194" s="7"/>
      <c r="T194" s="7"/>
    </row>
    <row r="195" spans="2:20" ht="15" customHeight="1" x14ac:dyDescent="0.25">
      <c r="B195" s="77" t="s">
        <v>241</v>
      </c>
      <c r="C195" s="136" t="s">
        <v>108</v>
      </c>
      <c r="D195" s="136"/>
      <c r="E195" s="136"/>
      <c r="F195" s="136"/>
      <c r="G195" s="136"/>
      <c r="H195" s="136"/>
      <c r="I195" s="136"/>
      <c r="J195" s="136"/>
      <c r="K195" s="136"/>
      <c r="L195" s="136"/>
      <c r="M195" s="136"/>
      <c r="N195" s="136"/>
      <c r="O195" s="136"/>
      <c r="P195" s="136"/>
      <c r="Q195" s="136"/>
      <c r="R195" s="136"/>
      <c r="S195" s="136"/>
      <c r="T195" s="7"/>
    </row>
    <row r="196" spans="2:20" x14ac:dyDescent="0.25">
      <c r="B196" s="77"/>
      <c r="C196" s="136"/>
      <c r="D196" s="136"/>
      <c r="E196" s="136"/>
      <c r="F196" s="136"/>
      <c r="G196" s="136"/>
      <c r="H196" s="136"/>
      <c r="I196" s="136"/>
      <c r="J196" s="136"/>
      <c r="K196" s="136"/>
      <c r="L196" s="136"/>
      <c r="M196" s="136"/>
      <c r="N196" s="136"/>
      <c r="O196" s="136"/>
      <c r="P196" s="136"/>
      <c r="Q196" s="136"/>
      <c r="R196" s="136"/>
      <c r="S196" s="136"/>
      <c r="T196" s="7"/>
    </row>
    <row r="197" spans="2:20" ht="15" customHeight="1" x14ac:dyDescent="0.25">
      <c r="B197" s="77" t="s">
        <v>241</v>
      </c>
      <c r="C197" s="136" t="s">
        <v>109</v>
      </c>
      <c r="D197" s="136"/>
      <c r="E197" s="136"/>
      <c r="F197" s="136"/>
      <c r="G197" s="136"/>
      <c r="H197" s="136"/>
      <c r="I197" s="136"/>
      <c r="J197" s="136"/>
      <c r="K197" s="136"/>
      <c r="L197" s="136"/>
      <c r="M197" s="136"/>
      <c r="N197" s="136"/>
      <c r="O197" s="136"/>
      <c r="P197" s="136"/>
      <c r="Q197" s="136"/>
      <c r="R197" s="136"/>
      <c r="S197" s="136"/>
      <c r="T197" s="7"/>
    </row>
    <row r="198" spans="2:20" x14ac:dyDescent="0.25">
      <c r="B198" s="77"/>
      <c r="C198" s="136"/>
      <c r="D198" s="136"/>
      <c r="E198" s="136"/>
      <c r="F198" s="136"/>
      <c r="G198" s="136"/>
      <c r="H198" s="136"/>
      <c r="I198" s="136"/>
      <c r="J198" s="136"/>
      <c r="K198" s="136"/>
      <c r="L198" s="136"/>
      <c r="M198" s="136"/>
      <c r="N198" s="136"/>
      <c r="O198" s="136"/>
      <c r="P198" s="136"/>
      <c r="Q198" s="136"/>
      <c r="R198" s="136"/>
      <c r="S198" s="136"/>
      <c r="T198" s="7"/>
    </row>
    <row r="199" spans="2:20" ht="15" customHeight="1" x14ac:dyDescent="0.25">
      <c r="B199" s="77" t="s">
        <v>241</v>
      </c>
      <c r="C199" s="136" t="s">
        <v>284</v>
      </c>
      <c r="D199" s="136"/>
      <c r="E199" s="136"/>
      <c r="F199" s="136"/>
      <c r="G199" s="136"/>
      <c r="H199" s="136"/>
      <c r="I199" s="136"/>
      <c r="J199" s="136"/>
      <c r="K199" s="136"/>
      <c r="L199" s="136"/>
      <c r="M199" s="136"/>
      <c r="N199" s="136"/>
      <c r="O199" s="136"/>
      <c r="P199" s="136"/>
      <c r="Q199" s="136"/>
      <c r="R199" s="136"/>
      <c r="S199" s="136"/>
      <c r="T199" s="7"/>
    </row>
    <row r="200" spans="2:20" x14ac:dyDescent="0.25">
      <c r="B200" s="77"/>
      <c r="C200" s="136"/>
      <c r="D200" s="136"/>
      <c r="E200" s="136"/>
      <c r="F200" s="136"/>
      <c r="G200" s="136"/>
      <c r="H200" s="136"/>
      <c r="I200" s="136"/>
      <c r="J200" s="136"/>
      <c r="K200" s="136"/>
      <c r="L200" s="136"/>
      <c r="M200" s="136"/>
      <c r="N200" s="136"/>
      <c r="O200" s="136"/>
      <c r="P200" s="136"/>
      <c r="Q200" s="136"/>
      <c r="R200" s="136"/>
      <c r="S200" s="136"/>
      <c r="T200" s="7"/>
    </row>
    <row r="201" spans="2:20" x14ac:dyDescent="0.25">
      <c r="C201" s="568"/>
      <c r="D201" s="568"/>
      <c r="E201" s="568"/>
      <c r="F201" s="568"/>
      <c r="G201" s="568"/>
      <c r="H201" s="568"/>
      <c r="I201" s="568"/>
      <c r="J201" s="568"/>
      <c r="K201" s="568"/>
      <c r="L201" s="568"/>
      <c r="M201" s="568"/>
      <c r="N201" s="568"/>
      <c r="O201" s="568"/>
      <c r="P201" s="568"/>
      <c r="Q201" s="568"/>
      <c r="R201" s="568"/>
      <c r="S201" s="568"/>
      <c r="T201" s="568"/>
    </row>
    <row r="202" spans="2:20" x14ac:dyDescent="0.25">
      <c r="B202" s="580" t="s">
        <v>110</v>
      </c>
      <c r="C202" s="580"/>
      <c r="D202" s="580"/>
      <c r="E202" s="580"/>
      <c r="F202" s="580"/>
      <c r="G202" s="580"/>
      <c r="H202" s="580"/>
      <c r="I202" s="580"/>
      <c r="J202" s="580"/>
      <c r="K202" s="580"/>
      <c r="L202" s="580"/>
      <c r="M202" s="580"/>
      <c r="N202" s="580"/>
      <c r="O202" s="580"/>
      <c r="P202" s="580"/>
      <c r="Q202" s="580"/>
      <c r="R202" s="580"/>
      <c r="S202" s="580"/>
      <c r="T202" s="580"/>
    </row>
    <row r="203" spans="2:20" x14ac:dyDescent="0.25">
      <c r="B203" s="77" t="s">
        <v>241</v>
      </c>
      <c r="C203" s="569" t="s">
        <v>111</v>
      </c>
      <c r="D203" s="182"/>
      <c r="E203" s="182"/>
      <c r="F203" s="182"/>
      <c r="G203" s="182"/>
      <c r="H203" s="182"/>
      <c r="I203" s="182"/>
      <c r="J203" s="182"/>
      <c r="K203" s="182"/>
      <c r="L203" s="182"/>
      <c r="M203" s="182"/>
      <c r="N203" s="182"/>
      <c r="O203" s="182"/>
      <c r="P203" s="182"/>
      <c r="Q203" s="182"/>
      <c r="R203" s="182"/>
      <c r="S203" s="182"/>
      <c r="T203" s="182"/>
    </row>
    <row r="204" spans="2:20" x14ac:dyDescent="0.25">
      <c r="C204" s="568"/>
      <c r="D204" s="182"/>
      <c r="E204" s="182"/>
      <c r="F204" s="182"/>
      <c r="G204" s="182"/>
      <c r="H204" s="182"/>
      <c r="I204" s="182"/>
      <c r="J204" s="182"/>
      <c r="K204" s="182"/>
      <c r="L204" s="182"/>
      <c r="M204" s="182"/>
      <c r="N204" s="182"/>
      <c r="O204" s="182"/>
      <c r="P204" s="182"/>
      <c r="Q204" s="182"/>
      <c r="R204" s="182"/>
      <c r="S204" s="182"/>
      <c r="T204" s="182"/>
    </row>
    <row r="205" spans="2:20" x14ac:dyDescent="0.25">
      <c r="C205" s="568"/>
      <c r="D205" s="182"/>
      <c r="E205" s="182"/>
      <c r="F205" s="182"/>
      <c r="G205" s="182"/>
      <c r="H205" s="182"/>
      <c r="I205" s="182"/>
      <c r="J205" s="182"/>
      <c r="K205" s="182"/>
      <c r="L205" s="182"/>
      <c r="M205" s="182"/>
      <c r="N205" s="182"/>
      <c r="O205" s="182"/>
      <c r="P205" s="182"/>
      <c r="Q205" s="182"/>
      <c r="R205" s="182"/>
      <c r="S205" s="182"/>
      <c r="T205" s="182"/>
    </row>
    <row r="206" spans="2:20" x14ac:dyDescent="0.25">
      <c r="C206" s="568"/>
      <c r="D206" s="182"/>
      <c r="E206" s="182"/>
      <c r="F206" s="182"/>
      <c r="G206" s="182"/>
      <c r="H206" s="182"/>
      <c r="I206" s="182"/>
      <c r="J206" s="182"/>
      <c r="K206" s="182"/>
      <c r="L206" s="182"/>
      <c r="M206" s="182"/>
      <c r="N206" s="182"/>
      <c r="O206" s="182"/>
      <c r="P206" s="182"/>
      <c r="Q206" s="182"/>
      <c r="R206" s="182"/>
      <c r="S206" s="182"/>
      <c r="T206" s="182"/>
    </row>
    <row r="207" spans="2:20" x14ac:dyDescent="0.25">
      <c r="C207" s="568"/>
      <c r="D207" s="182"/>
      <c r="E207" s="182"/>
      <c r="F207" s="182"/>
      <c r="G207" s="182"/>
      <c r="H207" s="182"/>
      <c r="I207" s="182"/>
      <c r="J207" s="182"/>
      <c r="K207" s="182"/>
      <c r="L207" s="182"/>
      <c r="M207" s="182"/>
      <c r="N207" s="182"/>
      <c r="O207" s="182"/>
      <c r="P207" s="182"/>
      <c r="Q207" s="182"/>
      <c r="R207" s="182"/>
      <c r="S207" s="182"/>
      <c r="T207" s="182"/>
    </row>
  </sheetData>
  <mergeCells count="125">
    <mergeCell ref="B1:C2"/>
    <mergeCell ref="D1:R2"/>
    <mergeCell ref="B5:B6"/>
    <mergeCell ref="C5:R6"/>
    <mergeCell ref="B202:T202"/>
    <mergeCell ref="C44:S44"/>
    <mergeCell ref="C45:S45"/>
    <mergeCell ref="C46:S46"/>
    <mergeCell ref="C47:S47"/>
    <mergeCell ref="C27:S27"/>
    <mergeCell ref="C43:S43"/>
    <mergeCell ref="C64:S64"/>
    <mergeCell ref="C70:S70"/>
    <mergeCell ref="C71:S71"/>
    <mergeCell ref="C72:S72"/>
    <mergeCell ref="C73:S73"/>
    <mergeCell ref="C76:S76"/>
    <mergeCell ref="C77:S77"/>
    <mergeCell ref="C91:S91"/>
    <mergeCell ref="C92:S92"/>
    <mergeCell ref="C50:S50"/>
    <mergeCell ref="C51:S51"/>
    <mergeCell ref="C78:S78"/>
    <mergeCell ref="C79:S79"/>
    <mergeCell ref="C80:S80"/>
    <mergeCell ref="C81:S81"/>
    <mergeCell ref="C104:S104"/>
    <mergeCell ref="C105:S105"/>
    <mergeCell ref="B106:R106"/>
    <mergeCell ref="B120:R120"/>
    <mergeCell ref="B101:R101"/>
    <mergeCell ref="C84:S84"/>
    <mergeCell ref="C89:S89"/>
    <mergeCell ref="C90:S90"/>
    <mergeCell ref="C107:S107"/>
    <mergeCell ref="C108:S108"/>
    <mergeCell ref="C133:P133"/>
    <mergeCell ref="C134:Q134"/>
    <mergeCell ref="C135:Q135"/>
    <mergeCell ref="C132:Q132"/>
    <mergeCell ref="C138:S139"/>
    <mergeCell ref="C141:S142"/>
    <mergeCell ref="C145:S146"/>
    <mergeCell ref="C143:S144"/>
    <mergeCell ref="C93:S93"/>
    <mergeCell ref="C125:S125"/>
    <mergeCell ref="C126:S126"/>
    <mergeCell ref="C113:S113"/>
    <mergeCell ref="C114:S114"/>
    <mergeCell ref="C115:S115"/>
    <mergeCell ref="C118:S118"/>
    <mergeCell ref="C94:S95"/>
    <mergeCell ref="C96:R97"/>
    <mergeCell ref="C98:S99"/>
    <mergeCell ref="C109:S110"/>
    <mergeCell ref="C116:S117"/>
    <mergeCell ref="C111:S111"/>
    <mergeCell ref="C112:S112"/>
    <mergeCell ref="C102:S102"/>
    <mergeCell ref="C103:S103"/>
    <mergeCell ref="C176:S177"/>
    <mergeCell ref="C161:S161"/>
    <mergeCell ref="C162:S162"/>
    <mergeCell ref="C149:S149"/>
    <mergeCell ref="C152:S152"/>
    <mergeCell ref="C153:S153"/>
    <mergeCell ref="C154:S154"/>
    <mergeCell ref="C147:S148"/>
    <mergeCell ref="C155:S156"/>
    <mergeCell ref="C157:S158"/>
    <mergeCell ref="C159:S160"/>
    <mergeCell ref="C163:S163"/>
    <mergeCell ref="C164:T164"/>
    <mergeCell ref="C165:T165"/>
    <mergeCell ref="C167:T167"/>
    <mergeCell ref="C170:S171"/>
    <mergeCell ref="C172:S172"/>
    <mergeCell ref="C168:S169"/>
    <mergeCell ref="C173:S173"/>
    <mergeCell ref="C174:S175"/>
    <mergeCell ref="C187:T187"/>
    <mergeCell ref="C188:T188"/>
    <mergeCell ref="C189:T189"/>
    <mergeCell ref="C190:T190"/>
    <mergeCell ref="C191:T191"/>
    <mergeCell ref="B185:S185"/>
    <mergeCell ref="C186:T186"/>
    <mergeCell ref="C178:S179"/>
    <mergeCell ref="C180:S181"/>
    <mergeCell ref="C182:S183"/>
    <mergeCell ref="C206:T206"/>
    <mergeCell ref="C207:T207"/>
    <mergeCell ref="C201:T201"/>
    <mergeCell ref="C203:T203"/>
    <mergeCell ref="C204:T204"/>
    <mergeCell ref="C205:T205"/>
    <mergeCell ref="C192:T192"/>
    <mergeCell ref="C193:T193"/>
    <mergeCell ref="C195:S196"/>
    <mergeCell ref="C197:S198"/>
    <mergeCell ref="C199:S200"/>
    <mergeCell ref="C20:S21"/>
    <mergeCell ref="C9:S10"/>
    <mergeCell ref="C121:S122"/>
    <mergeCell ref="C123:S124"/>
    <mergeCell ref="C129:S130"/>
    <mergeCell ref="B150:S151"/>
    <mergeCell ref="C24:S26"/>
    <mergeCell ref="C28:S31"/>
    <mergeCell ref="C32:S35"/>
    <mergeCell ref="C36:S37"/>
    <mergeCell ref="C40:S42"/>
    <mergeCell ref="C48:S49"/>
    <mergeCell ref="C52:S53"/>
    <mergeCell ref="C54:S55"/>
    <mergeCell ref="C56:S57"/>
    <mergeCell ref="C58:S59"/>
    <mergeCell ref="C60:S63"/>
    <mergeCell ref="C65:S67"/>
    <mergeCell ref="C74:S75"/>
    <mergeCell ref="C82:S83"/>
    <mergeCell ref="C85:S86"/>
    <mergeCell ref="C87:S88"/>
    <mergeCell ref="C140:S140"/>
    <mergeCell ref="C131:P131"/>
  </mergeCells>
  <hyperlinks>
    <hyperlink ref="C203" r:id="rId1" xr:uid="{00000000-0004-0000-0300-000000000000}"/>
  </hyperlinks>
  <pageMargins left="0.25" right="0.25" top="0.75" bottom="0.75" header="0.3" footer="0.3"/>
  <pageSetup fitToWidth="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5" x14ac:dyDescent="0.25"/>
  <sheetData/>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election activeCell="A35" sqref="A35"/>
    </sheetView>
  </sheetViews>
  <sheetFormatPr defaultRowHeight="15" x14ac:dyDescent="0.25"/>
  <sheetData/>
  <pageMargins left="0.7" right="0.7" top="0.75" bottom="0.75" header="0.3" footer="0.3"/>
  <pageSetup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topLeftCell="A13" workbookViewId="0">
      <selection activeCell="L38" sqref="L38"/>
    </sheetView>
  </sheetViews>
  <sheetFormatPr defaultRowHeight="15" x14ac:dyDescent="0.25"/>
  <sheetData/>
  <pageMargins left="0.7" right="0.7" top="0.75" bottom="0.75" header="0.3" footer="0.3"/>
  <pageSetup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I364"/>
  <sheetViews>
    <sheetView zoomScale="115" zoomScaleNormal="115" workbookViewId="0">
      <selection activeCell="I4" sqref="I4"/>
    </sheetView>
  </sheetViews>
  <sheetFormatPr defaultRowHeight="15" x14ac:dyDescent="0.25"/>
  <cols>
    <col min="1" max="1" width="3.5703125" customWidth="1"/>
    <col min="3" max="3" width="11.140625" bestFit="1" customWidth="1"/>
    <col min="5" max="5" width="11.28515625" customWidth="1"/>
    <col min="6" max="6" width="11.5703125" customWidth="1"/>
    <col min="8" max="8" width="18.85546875" customWidth="1"/>
    <col min="9" max="9" width="13.42578125" bestFit="1" customWidth="1"/>
  </cols>
  <sheetData>
    <row r="2" spans="2:9" x14ac:dyDescent="0.25">
      <c r="B2" s="581" t="s">
        <v>309</v>
      </c>
      <c r="C2" s="582"/>
      <c r="D2" s="582"/>
      <c r="E2" s="582"/>
      <c r="F2" s="583"/>
      <c r="H2" s="78" t="s">
        <v>306</v>
      </c>
      <c r="I2" s="95">
        <f>'Debt Tool'!I43</f>
        <v>204000</v>
      </c>
    </row>
    <row r="3" spans="2:9" x14ac:dyDescent="0.25">
      <c r="B3" s="83" t="s">
        <v>302</v>
      </c>
      <c r="C3" s="82" t="s">
        <v>303</v>
      </c>
      <c r="D3" s="79" t="s">
        <v>304</v>
      </c>
      <c r="E3" s="80" t="s">
        <v>25</v>
      </c>
      <c r="F3" s="81" t="s">
        <v>305</v>
      </c>
      <c r="H3" s="94" t="s">
        <v>307</v>
      </c>
      <c r="I3" s="95">
        <f>'Debt Tool'!I48</f>
        <v>1200</v>
      </c>
    </row>
    <row r="4" spans="2:9" x14ac:dyDescent="0.25">
      <c r="B4" s="85">
        <v>1</v>
      </c>
      <c r="C4" s="99">
        <f>MIN(I2+I3,I3)</f>
        <v>1200</v>
      </c>
      <c r="D4" s="97">
        <f>MIN(C4-E4,I2)</f>
        <v>751.96718364059814</v>
      </c>
      <c r="E4" s="97">
        <f>I5*I2</f>
        <v>448.03281635940186</v>
      </c>
      <c r="F4" s="98">
        <f>SUM(I2-D4)</f>
        <v>203248.03281635939</v>
      </c>
      <c r="H4" t="s">
        <v>308</v>
      </c>
      <c r="I4" s="6">
        <v>2.6499999999999999E-2</v>
      </c>
    </row>
    <row r="5" spans="2:9" x14ac:dyDescent="0.25">
      <c r="B5" s="84">
        <v>2</v>
      </c>
      <c r="C5" s="92">
        <f>MIN(F4+E5,$I$3)</f>
        <v>1200</v>
      </c>
      <c r="D5" s="87">
        <f>MIN(C5-E5,F4)</f>
        <v>753.61868351852149</v>
      </c>
      <c r="E5" s="87">
        <f>$I$5*F4</f>
        <v>446.38131648147856</v>
      </c>
      <c r="F5" s="88">
        <f>SUM(F4-D5)</f>
        <v>202494.41413284087</v>
      </c>
      <c r="H5" s="78" t="s">
        <v>26</v>
      </c>
      <c r="I5">
        <f>IFERROR(((((1+(I4/2))^(2)))^(1/12)-1),"")</f>
        <v>2.1962392958794208E-3</v>
      </c>
    </row>
    <row r="6" spans="2:9" x14ac:dyDescent="0.25">
      <c r="B6" s="84">
        <v>3</v>
      </c>
      <c r="C6" s="92">
        <f>MIN(F5+E6,$I$3)</f>
        <v>1200</v>
      </c>
      <c r="D6" s="87">
        <f>MIN(C6-E6,F5)</f>
        <v>755.2738104853737</v>
      </c>
      <c r="E6" s="87">
        <f>$I$5*F5</f>
        <v>444.7261895146263</v>
      </c>
      <c r="F6" s="88">
        <f>SUM(F5-D6)</f>
        <v>201739.1403223555</v>
      </c>
    </row>
    <row r="7" spans="2:9" x14ac:dyDescent="0.25">
      <c r="B7" s="84">
        <v>4</v>
      </c>
      <c r="C7" s="92">
        <f t="shared" ref="C7:C15" si="0">MIN(F6+E7,$I$3)</f>
        <v>1200</v>
      </c>
      <c r="D7" s="87">
        <f t="shared" ref="D7:D15" si="1">MIN(C7-E7,F6)</f>
        <v>756.93257250711031</v>
      </c>
      <c r="E7" s="87">
        <f t="shared" ref="E7:E70" si="2">$I$5*F6</f>
        <v>443.06742749288969</v>
      </c>
      <c r="F7" s="88">
        <f t="shared" ref="F7:F15" si="3">SUM(F6-D7)</f>
        <v>200982.20774984837</v>
      </c>
      <c r="H7" s="78" t="s">
        <v>310</v>
      </c>
      <c r="I7">
        <f>MATCH(0,F4:F363,0)</f>
        <v>214</v>
      </c>
    </row>
    <row r="8" spans="2:9" x14ac:dyDescent="0.25">
      <c r="B8" s="84">
        <v>5</v>
      </c>
      <c r="C8" s="92">
        <f t="shared" si="0"/>
        <v>1200</v>
      </c>
      <c r="D8" s="87">
        <f t="shared" si="1"/>
        <v>758.59497756718156</v>
      </c>
      <c r="E8" s="87">
        <f t="shared" si="2"/>
        <v>441.40502243281844</v>
      </c>
      <c r="F8" s="88">
        <f t="shared" si="3"/>
        <v>200223.61277228119</v>
      </c>
      <c r="H8" s="78" t="s">
        <v>311</v>
      </c>
      <c r="I8" s="100">
        <f>I7/12</f>
        <v>17.833333333333332</v>
      </c>
    </row>
    <row r="9" spans="2:9" x14ac:dyDescent="0.25">
      <c r="B9" s="84">
        <v>6</v>
      </c>
      <c r="C9" s="92">
        <f t="shared" si="0"/>
        <v>1200</v>
      </c>
      <c r="D9" s="87">
        <f t="shared" si="1"/>
        <v>760.26103366657139</v>
      </c>
      <c r="E9" s="87">
        <f t="shared" si="2"/>
        <v>439.73896633342866</v>
      </c>
      <c r="F9" s="88">
        <f t="shared" si="3"/>
        <v>199463.35173861461</v>
      </c>
    </row>
    <row r="10" spans="2:9" x14ac:dyDescent="0.25">
      <c r="B10" s="84">
        <v>7</v>
      </c>
      <c r="C10" s="92">
        <f t="shared" si="0"/>
        <v>1200</v>
      </c>
      <c r="D10" s="87">
        <f t="shared" si="1"/>
        <v>761.93074882383576</v>
      </c>
      <c r="E10" s="87">
        <f t="shared" si="2"/>
        <v>438.06925117616419</v>
      </c>
      <c r="F10" s="88">
        <f t="shared" si="3"/>
        <v>198701.42098979079</v>
      </c>
    </row>
    <row r="11" spans="2:9" x14ac:dyDescent="0.25">
      <c r="B11" s="84">
        <v>8</v>
      </c>
      <c r="C11" s="92">
        <f t="shared" si="0"/>
        <v>1200</v>
      </c>
      <c r="D11" s="87">
        <f t="shared" si="1"/>
        <v>763.60413107514159</v>
      </c>
      <c r="E11" s="87">
        <f t="shared" si="2"/>
        <v>436.39586892485846</v>
      </c>
      <c r="F11" s="88">
        <f t="shared" si="3"/>
        <v>197937.81685871564</v>
      </c>
    </row>
    <row r="12" spans="2:9" x14ac:dyDescent="0.25">
      <c r="B12" s="84">
        <v>9</v>
      </c>
      <c r="C12" s="92">
        <f t="shared" si="0"/>
        <v>1200</v>
      </c>
      <c r="D12" s="87">
        <f t="shared" si="1"/>
        <v>765.2811884743046</v>
      </c>
      <c r="E12" s="87">
        <f t="shared" si="2"/>
        <v>434.7188115256954</v>
      </c>
      <c r="F12" s="88">
        <f t="shared" si="3"/>
        <v>197172.53567024134</v>
      </c>
    </row>
    <row r="13" spans="2:9" x14ac:dyDescent="0.25">
      <c r="B13" s="84">
        <v>10</v>
      </c>
      <c r="C13" s="92">
        <f t="shared" si="0"/>
        <v>1200</v>
      </c>
      <c r="D13" s="87">
        <f t="shared" si="1"/>
        <v>766.96192909282922</v>
      </c>
      <c r="E13" s="87">
        <f t="shared" si="2"/>
        <v>433.03807090717083</v>
      </c>
      <c r="F13" s="88">
        <f t="shared" si="3"/>
        <v>196405.57374114852</v>
      </c>
    </row>
    <row r="14" spans="2:9" x14ac:dyDescent="0.25">
      <c r="B14" s="84">
        <v>11</v>
      </c>
      <c r="C14" s="92">
        <f t="shared" si="0"/>
        <v>1200</v>
      </c>
      <c r="D14" s="87">
        <f t="shared" si="1"/>
        <v>768.64636101994631</v>
      </c>
      <c r="E14" s="87">
        <f t="shared" si="2"/>
        <v>431.35363898005369</v>
      </c>
      <c r="F14" s="88">
        <f t="shared" si="3"/>
        <v>195636.92738012856</v>
      </c>
    </row>
    <row r="15" spans="2:9" x14ac:dyDescent="0.25">
      <c r="B15" s="86">
        <v>12</v>
      </c>
      <c r="C15" s="89">
        <f t="shared" si="0"/>
        <v>1200</v>
      </c>
      <c r="D15" s="90">
        <f t="shared" si="1"/>
        <v>770.33449236265301</v>
      </c>
      <c r="E15" s="90">
        <f t="shared" si="2"/>
        <v>429.66550763734693</v>
      </c>
      <c r="F15" s="91">
        <f t="shared" si="3"/>
        <v>194866.5928877659</v>
      </c>
    </row>
    <row r="16" spans="2:9" x14ac:dyDescent="0.25">
      <c r="B16" s="84">
        <v>13</v>
      </c>
      <c r="C16" s="92">
        <f t="shared" ref="C16:C79" si="4">MIN(F15+E16,$I$3)</f>
        <v>1200</v>
      </c>
      <c r="D16" s="87">
        <f t="shared" ref="D16:D79" si="5">MIN(C16-E16,F15)</f>
        <v>772.02633124575129</v>
      </c>
      <c r="E16" s="87">
        <f t="shared" si="2"/>
        <v>427.97366875424871</v>
      </c>
      <c r="F16" s="88">
        <f t="shared" ref="F16:F79" si="6">SUM(F15-D16)</f>
        <v>194094.56655652015</v>
      </c>
    </row>
    <row r="17" spans="2:6" x14ac:dyDescent="0.25">
      <c r="B17" s="84">
        <v>14</v>
      </c>
      <c r="C17" s="92">
        <f t="shared" si="4"/>
        <v>1200</v>
      </c>
      <c r="D17" s="87">
        <f t="shared" si="5"/>
        <v>773.72188581188675</v>
      </c>
      <c r="E17" s="87">
        <f t="shared" si="2"/>
        <v>426.27811418811319</v>
      </c>
      <c r="F17" s="88">
        <f t="shared" si="6"/>
        <v>193320.84467070826</v>
      </c>
    </row>
    <row r="18" spans="2:6" x14ac:dyDescent="0.25">
      <c r="B18" s="84">
        <v>15</v>
      </c>
      <c r="C18" s="92">
        <f t="shared" si="4"/>
        <v>1200</v>
      </c>
      <c r="D18" s="87">
        <f t="shared" si="5"/>
        <v>775.42116422158881</v>
      </c>
      <c r="E18" s="87">
        <f t="shared" si="2"/>
        <v>424.57883577841119</v>
      </c>
      <c r="F18" s="88">
        <f t="shared" si="6"/>
        <v>192545.42350648667</v>
      </c>
    </row>
    <row r="19" spans="2:6" x14ac:dyDescent="0.25">
      <c r="B19" s="84">
        <v>16</v>
      </c>
      <c r="C19" s="92">
        <f t="shared" si="4"/>
        <v>1200</v>
      </c>
      <c r="D19" s="87">
        <f t="shared" si="5"/>
        <v>777.12417465330884</v>
      </c>
      <c r="E19" s="87">
        <f t="shared" si="2"/>
        <v>422.87582534669116</v>
      </c>
      <c r="F19" s="88">
        <f t="shared" si="6"/>
        <v>191768.29933183335</v>
      </c>
    </row>
    <row r="20" spans="2:6" x14ac:dyDescent="0.25">
      <c r="B20" s="84">
        <v>17</v>
      </c>
      <c r="C20" s="92">
        <f t="shared" si="4"/>
        <v>1200</v>
      </c>
      <c r="D20" s="87">
        <f t="shared" si="5"/>
        <v>778.83092530346039</v>
      </c>
      <c r="E20" s="87">
        <f t="shared" si="2"/>
        <v>421.16907469653967</v>
      </c>
      <c r="F20" s="88">
        <f t="shared" si="6"/>
        <v>190989.46840652989</v>
      </c>
    </row>
    <row r="21" spans="2:6" x14ac:dyDescent="0.25">
      <c r="B21" s="84">
        <v>18</v>
      </c>
      <c r="C21" s="92">
        <f t="shared" si="4"/>
        <v>1200</v>
      </c>
      <c r="D21" s="87">
        <f t="shared" si="5"/>
        <v>780.54142438645795</v>
      </c>
      <c r="E21" s="87">
        <f t="shared" si="2"/>
        <v>419.45857561354211</v>
      </c>
      <c r="F21" s="88">
        <f t="shared" si="6"/>
        <v>190208.92698214343</v>
      </c>
    </row>
    <row r="22" spans="2:6" x14ac:dyDescent="0.25">
      <c r="B22" s="84">
        <v>19</v>
      </c>
      <c r="C22" s="92">
        <f t="shared" si="4"/>
        <v>1200</v>
      </c>
      <c r="D22" s="87">
        <f t="shared" si="5"/>
        <v>782.25568013475709</v>
      </c>
      <c r="E22" s="87">
        <f t="shared" si="2"/>
        <v>417.74431986524286</v>
      </c>
      <c r="F22" s="88">
        <f t="shared" si="6"/>
        <v>189426.67130200868</v>
      </c>
    </row>
    <row r="23" spans="2:6" x14ac:dyDescent="0.25">
      <c r="B23" s="84">
        <v>20</v>
      </c>
      <c r="C23" s="92">
        <f t="shared" si="4"/>
        <v>1200</v>
      </c>
      <c r="D23" s="87">
        <f t="shared" si="5"/>
        <v>783.97370079889401</v>
      </c>
      <c r="E23" s="87">
        <f t="shared" si="2"/>
        <v>416.02629920110604</v>
      </c>
      <c r="F23" s="88">
        <f t="shared" si="6"/>
        <v>188642.69760120977</v>
      </c>
    </row>
    <row r="24" spans="2:6" x14ac:dyDescent="0.25">
      <c r="B24" s="84">
        <v>21</v>
      </c>
      <c r="C24" s="92">
        <f t="shared" si="4"/>
        <v>1200</v>
      </c>
      <c r="D24" s="87">
        <f t="shared" si="5"/>
        <v>785.69549464752458</v>
      </c>
      <c r="E24" s="87">
        <f t="shared" si="2"/>
        <v>414.30450535247547</v>
      </c>
      <c r="F24" s="88">
        <f t="shared" si="6"/>
        <v>187857.00210656226</v>
      </c>
    </row>
    <row r="25" spans="2:6" x14ac:dyDescent="0.25">
      <c r="B25" s="84">
        <v>22</v>
      </c>
      <c r="C25" s="92">
        <f t="shared" si="4"/>
        <v>1200</v>
      </c>
      <c r="D25" s="87">
        <f t="shared" si="5"/>
        <v>787.42106996746486</v>
      </c>
      <c r="E25" s="87">
        <f t="shared" si="2"/>
        <v>412.57893003253514</v>
      </c>
      <c r="F25" s="88">
        <f t="shared" si="6"/>
        <v>187069.58103659478</v>
      </c>
    </row>
    <row r="26" spans="2:6" x14ac:dyDescent="0.25">
      <c r="B26" s="84">
        <v>23</v>
      </c>
      <c r="C26" s="92">
        <f t="shared" si="4"/>
        <v>1200</v>
      </c>
      <c r="D26" s="87">
        <f t="shared" si="5"/>
        <v>789.15043506373081</v>
      </c>
      <c r="E26" s="87">
        <f t="shared" si="2"/>
        <v>410.84956493626919</v>
      </c>
      <c r="F26" s="88">
        <f t="shared" si="6"/>
        <v>186280.43060153106</v>
      </c>
    </row>
    <row r="27" spans="2:6" x14ac:dyDescent="0.25">
      <c r="B27" s="84">
        <v>24</v>
      </c>
      <c r="C27" s="92">
        <f t="shared" si="4"/>
        <v>1200</v>
      </c>
      <c r="D27" s="87">
        <f t="shared" si="5"/>
        <v>790.88359825957809</v>
      </c>
      <c r="E27" s="87">
        <f t="shared" si="2"/>
        <v>409.11640174042191</v>
      </c>
      <c r="F27" s="88">
        <f t="shared" si="6"/>
        <v>185489.54700327147</v>
      </c>
    </row>
    <row r="28" spans="2:6" x14ac:dyDescent="0.25">
      <c r="B28" s="85">
        <v>25</v>
      </c>
      <c r="C28" s="96">
        <f t="shared" si="4"/>
        <v>1200</v>
      </c>
      <c r="D28" s="97">
        <f t="shared" si="5"/>
        <v>792.6205678965423</v>
      </c>
      <c r="E28" s="97">
        <f t="shared" si="2"/>
        <v>407.37943210345765</v>
      </c>
      <c r="F28" s="98">
        <f t="shared" si="6"/>
        <v>184696.92643537492</v>
      </c>
    </row>
    <row r="29" spans="2:6" x14ac:dyDescent="0.25">
      <c r="B29" s="84">
        <v>26</v>
      </c>
      <c r="C29" s="92">
        <f t="shared" si="4"/>
        <v>1200</v>
      </c>
      <c r="D29" s="87">
        <f t="shared" si="5"/>
        <v>794.36135233447908</v>
      </c>
      <c r="E29" s="87">
        <f t="shared" si="2"/>
        <v>405.63864766552098</v>
      </c>
      <c r="F29" s="88">
        <f t="shared" si="6"/>
        <v>183902.56508304045</v>
      </c>
    </row>
    <row r="30" spans="2:6" x14ac:dyDescent="0.25">
      <c r="B30" s="84">
        <v>27</v>
      </c>
      <c r="C30" s="92">
        <f t="shared" si="4"/>
        <v>1200</v>
      </c>
      <c r="D30" s="87">
        <f t="shared" si="5"/>
        <v>796.10595995160384</v>
      </c>
      <c r="E30" s="87">
        <f t="shared" si="2"/>
        <v>403.89404004839611</v>
      </c>
      <c r="F30" s="88">
        <f t="shared" si="6"/>
        <v>183106.45912308883</v>
      </c>
    </row>
    <row r="31" spans="2:6" x14ac:dyDescent="0.25">
      <c r="B31" s="84">
        <v>28</v>
      </c>
      <c r="C31" s="92">
        <f t="shared" si="4"/>
        <v>1200</v>
      </c>
      <c r="D31" s="87">
        <f t="shared" si="5"/>
        <v>797.85439914453343</v>
      </c>
      <c r="E31" s="87">
        <f t="shared" si="2"/>
        <v>402.14560085546657</v>
      </c>
      <c r="F31" s="88">
        <f t="shared" si="6"/>
        <v>182308.6047239443</v>
      </c>
    </row>
    <row r="32" spans="2:6" x14ac:dyDescent="0.25">
      <c r="B32" s="84">
        <v>29</v>
      </c>
      <c r="C32" s="92">
        <f t="shared" si="4"/>
        <v>1200</v>
      </c>
      <c r="D32" s="87">
        <f t="shared" si="5"/>
        <v>799.60667832832496</v>
      </c>
      <c r="E32" s="87">
        <f t="shared" si="2"/>
        <v>400.3933216716751</v>
      </c>
      <c r="F32" s="88">
        <f t="shared" si="6"/>
        <v>181508.99804561597</v>
      </c>
    </row>
    <row r="33" spans="2:6" x14ac:dyDescent="0.25">
      <c r="B33" s="84">
        <v>30</v>
      </c>
      <c r="C33" s="92">
        <f t="shared" si="4"/>
        <v>1200</v>
      </c>
      <c r="D33" s="87">
        <f t="shared" si="5"/>
        <v>801.36280593651725</v>
      </c>
      <c r="E33" s="87">
        <f t="shared" si="2"/>
        <v>398.63719406348275</v>
      </c>
      <c r="F33" s="88">
        <f t="shared" si="6"/>
        <v>180707.63523967945</v>
      </c>
    </row>
    <row r="34" spans="2:6" x14ac:dyDescent="0.25">
      <c r="B34" s="84">
        <v>31</v>
      </c>
      <c r="C34" s="92">
        <f t="shared" si="4"/>
        <v>1200</v>
      </c>
      <c r="D34" s="87">
        <f t="shared" si="5"/>
        <v>803.1227904211712</v>
      </c>
      <c r="E34" s="87">
        <f t="shared" si="2"/>
        <v>396.8772095788288</v>
      </c>
      <c r="F34" s="88">
        <f t="shared" si="6"/>
        <v>179904.51244925827</v>
      </c>
    </row>
    <row r="35" spans="2:6" x14ac:dyDescent="0.25">
      <c r="B35" s="84">
        <v>32</v>
      </c>
      <c r="C35" s="92">
        <f t="shared" si="4"/>
        <v>1200</v>
      </c>
      <c r="D35" s="87">
        <f t="shared" si="5"/>
        <v>804.88664025291052</v>
      </c>
      <c r="E35" s="87">
        <f t="shared" si="2"/>
        <v>395.11335974708948</v>
      </c>
      <c r="F35" s="88">
        <f t="shared" si="6"/>
        <v>179099.62580900535</v>
      </c>
    </row>
    <row r="36" spans="2:6" x14ac:dyDescent="0.25">
      <c r="B36" s="84">
        <v>33</v>
      </c>
      <c r="C36" s="92">
        <f t="shared" si="4"/>
        <v>1200</v>
      </c>
      <c r="D36" s="87">
        <f t="shared" si="5"/>
        <v>806.6543639209624</v>
      </c>
      <c r="E36" s="87">
        <f t="shared" si="2"/>
        <v>393.34563607903766</v>
      </c>
      <c r="F36" s="88">
        <f t="shared" si="6"/>
        <v>178292.97144508437</v>
      </c>
    </row>
    <row r="37" spans="2:6" x14ac:dyDescent="0.25">
      <c r="B37" s="84">
        <v>34</v>
      </c>
      <c r="C37" s="92">
        <f t="shared" si="4"/>
        <v>1200</v>
      </c>
      <c r="D37" s="87">
        <f t="shared" si="5"/>
        <v>808.42596993319819</v>
      </c>
      <c r="E37" s="87">
        <f t="shared" si="2"/>
        <v>391.57403006680181</v>
      </c>
      <c r="F37" s="88">
        <f t="shared" si="6"/>
        <v>177484.54547515119</v>
      </c>
    </row>
    <row r="38" spans="2:6" x14ac:dyDescent="0.25">
      <c r="B38" s="84">
        <v>35</v>
      </c>
      <c r="C38" s="92">
        <f t="shared" si="4"/>
        <v>1200</v>
      </c>
      <c r="D38" s="87">
        <f t="shared" si="5"/>
        <v>810.20146681617484</v>
      </c>
      <c r="E38" s="87">
        <f t="shared" si="2"/>
        <v>389.7985331838251</v>
      </c>
      <c r="F38" s="88">
        <f t="shared" si="6"/>
        <v>176674.344008335</v>
      </c>
    </row>
    <row r="39" spans="2:6" x14ac:dyDescent="0.25">
      <c r="B39" s="86">
        <v>36</v>
      </c>
      <c r="C39" s="89">
        <f t="shared" si="4"/>
        <v>1200</v>
      </c>
      <c r="D39" s="90">
        <f t="shared" si="5"/>
        <v>811.98086311517579</v>
      </c>
      <c r="E39" s="90">
        <f t="shared" si="2"/>
        <v>388.01913688482421</v>
      </c>
      <c r="F39" s="91">
        <f t="shared" si="6"/>
        <v>175862.36314521983</v>
      </c>
    </row>
    <row r="40" spans="2:6" x14ac:dyDescent="0.25">
      <c r="B40" s="84">
        <v>37</v>
      </c>
      <c r="C40" s="92">
        <f t="shared" si="4"/>
        <v>1200</v>
      </c>
      <c r="D40" s="87">
        <f t="shared" si="5"/>
        <v>813.76416739425144</v>
      </c>
      <c r="E40" s="87">
        <f t="shared" si="2"/>
        <v>386.23583260574861</v>
      </c>
      <c r="F40" s="88">
        <f t="shared" si="6"/>
        <v>175048.59897782558</v>
      </c>
    </row>
    <row r="41" spans="2:6" x14ac:dyDescent="0.25">
      <c r="B41" s="84">
        <v>38</v>
      </c>
      <c r="C41" s="92">
        <f t="shared" si="4"/>
        <v>1200</v>
      </c>
      <c r="D41" s="87">
        <f t="shared" si="5"/>
        <v>815.55138823626123</v>
      </c>
      <c r="E41" s="87">
        <f t="shared" si="2"/>
        <v>384.44861176373877</v>
      </c>
      <c r="F41" s="88">
        <f t="shared" si="6"/>
        <v>174233.04758958932</v>
      </c>
    </row>
    <row r="42" spans="2:6" x14ac:dyDescent="0.25">
      <c r="B42" s="84">
        <v>39</v>
      </c>
      <c r="C42" s="92">
        <f t="shared" si="4"/>
        <v>1200</v>
      </c>
      <c r="D42" s="87">
        <f t="shared" si="5"/>
        <v>817.34253424291478</v>
      </c>
      <c r="E42" s="87">
        <f t="shared" si="2"/>
        <v>382.65746575708528</v>
      </c>
      <c r="F42" s="88">
        <f t="shared" si="6"/>
        <v>173415.70505534639</v>
      </c>
    </row>
    <row r="43" spans="2:6" x14ac:dyDescent="0.25">
      <c r="B43" s="84">
        <v>40</v>
      </c>
      <c r="C43" s="92">
        <f t="shared" si="4"/>
        <v>1200</v>
      </c>
      <c r="D43" s="87">
        <f t="shared" si="5"/>
        <v>819.13761403481271</v>
      </c>
      <c r="E43" s="87">
        <f t="shared" si="2"/>
        <v>380.86238596518729</v>
      </c>
      <c r="F43" s="88">
        <f t="shared" si="6"/>
        <v>172596.56744131158</v>
      </c>
    </row>
    <row r="44" spans="2:6" x14ac:dyDescent="0.25">
      <c r="B44" s="84">
        <v>41</v>
      </c>
      <c r="C44" s="92">
        <f t="shared" si="4"/>
        <v>1200</v>
      </c>
      <c r="D44" s="87">
        <f t="shared" si="5"/>
        <v>820.93663625148884</v>
      </c>
      <c r="E44" s="87">
        <f t="shared" si="2"/>
        <v>379.06336374851111</v>
      </c>
      <c r="F44" s="88">
        <f t="shared" si="6"/>
        <v>171775.63080506009</v>
      </c>
    </row>
    <row r="45" spans="2:6" x14ac:dyDescent="0.25">
      <c r="B45" s="84">
        <v>42</v>
      </c>
      <c r="C45" s="92">
        <f t="shared" si="4"/>
        <v>1200</v>
      </c>
      <c r="D45" s="87">
        <f t="shared" si="5"/>
        <v>822.73960955145139</v>
      </c>
      <c r="E45" s="87">
        <f t="shared" si="2"/>
        <v>377.26039044854855</v>
      </c>
      <c r="F45" s="88">
        <f t="shared" si="6"/>
        <v>170952.89119550865</v>
      </c>
    </row>
    <row r="46" spans="2:6" x14ac:dyDescent="0.25">
      <c r="B46" s="84">
        <v>43</v>
      </c>
      <c r="C46" s="92">
        <f t="shared" si="4"/>
        <v>1200</v>
      </c>
      <c r="D46" s="87">
        <f t="shared" si="5"/>
        <v>824.54654261222481</v>
      </c>
      <c r="E46" s="87">
        <f t="shared" si="2"/>
        <v>375.45345738777513</v>
      </c>
      <c r="F46" s="88">
        <f t="shared" si="6"/>
        <v>170128.34465289643</v>
      </c>
    </row>
    <row r="47" spans="2:6" x14ac:dyDescent="0.25">
      <c r="B47" s="84">
        <v>44</v>
      </c>
      <c r="C47" s="92">
        <f t="shared" si="4"/>
        <v>1200</v>
      </c>
      <c r="D47" s="87">
        <f t="shared" si="5"/>
        <v>826.35744413039129</v>
      </c>
      <c r="E47" s="87">
        <f t="shared" si="2"/>
        <v>373.64255586960866</v>
      </c>
      <c r="F47" s="88">
        <f t="shared" si="6"/>
        <v>169301.98720876605</v>
      </c>
    </row>
    <row r="48" spans="2:6" x14ac:dyDescent="0.25">
      <c r="B48" s="84">
        <v>45</v>
      </c>
      <c r="C48" s="92">
        <f t="shared" si="4"/>
        <v>1200</v>
      </c>
      <c r="D48" s="87">
        <f t="shared" si="5"/>
        <v>828.17232282163297</v>
      </c>
      <c r="E48" s="87">
        <f t="shared" si="2"/>
        <v>371.82767717836703</v>
      </c>
      <c r="F48" s="88">
        <f t="shared" si="6"/>
        <v>168473.81488594442</v>
      </c>
    </row>
    <row r="49" spans="2:6" x14ac:dyDescent="0.25">
      <c r="B49" s="84">
        <v>46</v>
      </c>
      <c r="C49" s="92">
        <f t="shared" si="4"/>
        <v>1200</v>
      </c>
      <c r="D49" s="87">
        <f t="shared" si="5"/>
        <v>829.99118742077349</v>
      </c>
      <c r="E49" s="87">
        <f t="shared" si="2"/>
        <v>370.00881257922646</v>
      </c>
      <c r="F49" s="88">
        <f t="shared" si="6"/>
        <v>167643.82369852366</v>
      </c>
    </row>
    <row r="50" spans="2:6" x14ac:dyDescent="0.25">
      <c r="B50" s="84">
        <v>47</v>
      </c>
      <c r="C50" s="92">
        <f t="shared" si="4"/>
        <v>1200</v>
      </c>
      <c r="D50" s="87">
        <f t="shared" si="5"/>
        <v>831.81404668182063</v>
      </c>
      <c r="E50" s="87">
        <f t="shared" si="2"/>
        <v>368.18595331817937</v>
      </c>
      <c r="F50" s="88">
        <f t="shared" si="6"/>
        <v>166812.00965184183</v>
      </c>
    </row>
    <row r="51" spans="2:6" x14ac:dyDescent="0.25">
      <c r="B51" s="84">
        <v>48</v>
      </c>
      <c r="C51" s="92">
        <f t="shared" si="4"/>
        <v>1200</v>
      </c>
      <c r="D51" s="87">
        <f t="shared" si="5"/>
        <v>833.64090937800779</v>
      </c>
      <c r="E51" s="87">
        <f t="shared" si="2"/>
        <v>366.35909062199227</v>
      </c>
      <c r="F51" s="88">
        <f t="shared" si="6"/>
        <v>165978.36874246382</v>
      </c>
    </row>
    <row r="52" spans="2:6" x14ac:dyDescent="0.25">
      <c r="B52" s="85">
        <v>49</v>
      </c>
      <c r="C52" s="96">
        <f t="shared" si="4"/>
        <v>1200</v>
      </c>
      <c r="D52" s="97">
        <f t="shared" si="5"/>
        <v>835.47178430183635</v>
      </c>
      <c r="E52" s="97">
        <f t="shared" si="2"/>
        <v>364.52821569816359</v>
      </c>
      <c r="F52" s="98">
        <f t="shared" si="6"/>
        <v>165142.89695816199</v>
      </c>
    </row>
    <row r="53" spans="2:6" x14ac:dyDescent="0.25">
      <c r="B53" s="84">
        <v>50</v>
      </c>
      <c r="C53" s="92">
        <f t="shared" si="4"/>
        <v>1200</v>
      </c>
      <c r="D53" s="87">
        <f t="shared" si="5"/>
        <v>837.30668026511853</v>
      </c>
      <c r="E53" s="87">
        <f t="shared" si="2"/>
        <v>362.69331973488141</v>
      </c>
      <c r="F53" s="88">
        <f t="shared" si="6"/>
        <v>164305.59027789687</v>
      </c>
    </row>
    <row r="54" spans="2:6" x14ac:dyDescent="0.25">
      <c r="B54" s="84">
        <v>51</v>
      </c>
      <c r="C54" s="92">
        <f t="shared" si="4"/>
        <v>1200</v>
      </c>
      <c r="D54" s="87">
        <f t="shared" si="5"/>
        <v>839.14560609901923</v>
      </c>
      <c r="E54" s="87">
        <f t="shared" si="2"/>
        <v>360.85439390098082</v>
      </c>
      <c r="F54" s="88">
        <f t="shared" si="6"/>
        <v>163466.44467179786</v>
      </c>
    </row>
    <row r="55" spans="2:6" x14ac:dyDescent="0.25">
      <c r="B55" s="84">
        <v>52</v>
      </c>
      <c r="C55" s="92">
        <f t="shared" si="4"/>
        <v>1200</v>
      </c>
      <c r="D55" s="87">
        <f t="shared" si="5"/>
        <v>840.98857065409834</v>
      </c>
      <c r="E55" s="87">
        <f t="shared" si="2"/>
        <v>359.0114293459016</v>
      </c>
      <c r="F55" s="88">
        <f t="shared" si="6"/>
        <v>162625.45610114376</v>
      </c>
    </row>
    <row r="56" spans="2:6" x14ac:dyDescent="0.25">
      <c r="B56" s="84">
        <v>53</v>
      </c>
      <c r="C56" s="92">
        <f t="shared" si="4"/>
        <v>1200</v>
      </c>
      <c r="D56" s="87">
        <f t="shared" si="5"/>
        <v>842.83558280035436</v>
      </c>
      <c r="E56" s="87">
        <f t="shared" si="2"/>
        <v>357.16441719964564</v>
      </c>
      <c r="F56" s="88">
        <f t="shared" si="6"/>
        <v>161782.62051834341</v>
      </c>
    </row>
    <row r="57" spans="2:6" x14ac:dyDescent="0.25">
      <c r="B57" s="84">
        <v>54</v>
      </c>
      <c r="C57" s="92">
        <f t="shared" si="4"/>
        <v>1200</v>
      </c>
      <c r="D57" s="87">
        <f t="shared" si="5"/>
        <v>844.68665142726593</v>
      </c>
      <c r="E57" s="87">
        <f t="shared" si="2"/>
        <v>355.31334857273407</v>
      </c>
      <c r="F57" s="88">
        <f t="shared" si="6"/>
        <v>160937.93386691614</v>
      </c>
    </row>
    <row r="58" spans="2:6" x14ac:dyDescent="0.25">
      <c r="B58" s="84">
        <v>55</v>
      </c>
      <c r="C58" s="92">
        <f t="shared" si="4"/>
        <v>1200</v>
      </c>
      <c r="D58" s="87">
        <f t="shared" si="5"/>
        <v>846.54178544383535</v>
      </c>
      <c r="E58" s="87">
        <f t="shared" si="2"/>
        <v>353.45821455616471</v>
      </c>
      <c r="F58" s="88">
        <f t="shared" si="6"/>
        <v>160091.3920814723</v>
      </c>
    </row>
    <row r="59" spans="2:6" x14ac:dyDescent="0.25">
      <c r="B59" s="84">
        <v>56</v>
      </c>
      <c r="C59" s="92">
        <f t="shared" si="4"/>
        <v>1200</v>
      </c>
      <c r="D59" s="87">
        <f t="shared" si="5"/>
        <v>848.400993778631</v>
      </c>
      <c r="E59" s="87">
        <f t="shared" si="2"/>
        <v>351.599006221369</v>
      </c>
      <c r="F59" s="88">
        <f t="shared" si="6"/>
        <v>159242.99108769366</v>
      </c>
    </row>
    <row r="60" spans="2:6" x14ac:dyDescent="0.25">
      <c r="B60" s="84">
        <v>57</v>
      </c>
      <c r="C60" s="92">
        <f t="shared" si="4"/>
        <v>1200</v>
      </c>
      <c r="D60" s="87">
        <f t="shared" si="5"/>
        <v>850.26428537983077</v>
      </c>
      <c r="E60" s="87">
        <f t="shared" si="2"/>
        <v>349.73571462016923</v>
      </c>
      <c r="F60" s="88">
        <f t="shared" si="6"/>
        <v>158392.72680231385</v>
      </c>
    </row>
    <row r="61" spans="2:6" x14ac:dyDescent="0.25">
      <c r="B61" s="84">
        <v>58</v>
      </c>
      <c r="C61" s="92">
        <f t="shared" si="4"/>
        <v>1200</v>
      </c>
      <c r="D61" s="87">
        <f t="shared" si="5"/>
        <v>852.13166921526476</v>
      </c>
      <c r="E61" s="87">
        <f t="shared" si="2"/>
        <v>347.86833078473524</v>
      </c>
      <c r="F61" s="88">
        <f t="shared" si="6"/>
        <v>157540.59513309857</v>
      </c>
    </row>
    <row r="62" spans="2:6" x14ac:dyDescent="0.25">
      <c r="B62" s="84">
        <v>59</v>
      </c>
      <c r="C62" s="92">
        <f t="shared" si="4"/>
        <v>1200</v>
      </c>
      <c r="D62" s="87">
        <f t="shared" si="5"/>
        <v>854.00315427245869</v>
      </c>
      <c r="E62" s="87">
        <f t="shared" si="2"/>
        <v>345.99684572754131</v>
      </c>
      <c r="F62" s="88">
        <f t="shared" si="6"/>
        <v>156686.59197882612</v>
      </c>
    </row>
    <row r="63" spans="2:6" x14ac:dyDescent="0.25">
      <c r="B63" s="86">
        <v>60</v>
      </c>
      <c r="C63" s="89">
        <f t="shared" si="4"/>
        <v>1200</v>
      </c>
      <c r="D63" s="90">
        <f t="shared" si="5"/>
        <v>855.87874955867687</v>
      </c>
      <c r="E63" s="90">
        <f t="shared" si="2"/>
        <v>344.12125044132318</v>
      </c>
      <c r="F63" s="91">
        <f t="shared" si="6"/>
        <v>155830.71322926745</v>
      </c>
    </row>
    <row r="64" spans="2:6" x14ac:dyDescent="0.25">
      <c r="B64" s="84">
        <v>61</v>
      </c>
      <c r="C64" s="92">
        <f t="shared" si="4"/>
        <v>1200</v>
      </c>
      <c r="D64" s="87">
        <f t="shared" si="5"/>
        <v>857.75846410096574</v>
      </c>
      <c r="E64" s="87">
        <f t="shared" si="2"/>
        <v>342.24153589903426</v>
      </c>
      <c r="F64" s="88">
        <f t="shared" si="6"/>
        <v>154972.95476516648</v>
      </c>
    </row>
    <row r="65" spans="2:6" x14ac:dyDescent="0.25">
      <c r="B65" s="84">
        <v>62</v>
      </c>
      <c r="C65" s="92">
        <f t="shared" si="4"/>
        <v>1200</v>
      </c>
      <c r="D65" s="87">
        <f t="shared" si="5"/>
        <v>859.64230694619744</v>
      </c>
      <c r="E65" s="87">
        <f t="shared" si="2"/>
        <v>340.35769305380256</v>
      </c>
      <c r="F65" s="88">
        <f t="shared" si="6"/>
        <v>154113.31245822029</v>
      </c>
    </row>
    <row r="66" spans="2:6" x14ac:dyDescent="0.25">
      <c r="B66" s="84">
        <v>63</v>
      </c>
      <c r="C66" s="92">
        <f t="shared" si="4"/>
        <v>1200</v>
      </c>
      <c r="D66" s="87">
        <f t="shared" si="5"/>
        <v>861.53028716111316</v>
      </c>
      <c r="E66" s="87">
        <f t="shared" si="2"/>
        <v>338.46971283888689</v>
      </c>
      <c r="F66" s="88">
        <f t="shared" si="6"/>
        <v>153251.78217105917</v>
      </c>
    </row>
    <row r="67" spans="2:6" x14ac:dyDescent="0.25">
      <c r="B67" s="84">
        <v>64</v>
      </c>
      <c r="C67" s="92">
        <f t="shared" si="4"/>
        <v>1200</v>
      </c>
      <c r="D67" s="87">
        <f t="shared" si="5"/>
        <v>863.4224138323666</v>
      </c>
      <c r="E67" s="87">
        <f t="shared" si="2"/>
        <v>336.57758616763334</v>
      </c>
      <c r="F67" s="88">
        <f t="shared" si="6"/>
        <v>152388.3597572268</v>
      </c>
    </row>
    <row r="68" spans="2:6" x14ac:dyDescent="0.25">
      <c r="B68" s="84">
        <v>65</v>
      </c>
      <c r="C68" s="92">
        <f t="shared" si="4"/>
        <v>1200</v>
      </c>
      <c r="D68" s="87">
        <f t="shared" si="5"/>
        <v>865.31869606656835</v>
      </c>
      <c r="E68" s="87">
        <f t="shared" si="2"/>
        <v>334.68130393343165</v>
      </c>
      <c r="F68" s="88">
        <f t="shared" si="6"/>
        <v>151523.04106116024</v>
      </c>
    </row>
    <row r="69" spans="2:6" x14ac:dyDescent="0.25">
      <c r="B69" s="84">
        <v>66</v>
      </c>
      <c r="C69" s="92">
        <f t="shared" si="4"/>
        <v>1200</v>
      </c>
      <c r="D69" s="87">
        <f t="shared" si="5"/>
        <v>867.21914299032892</v>
      </c>
      <c r="E69" s="87">
        <f t="shared" si="2"/>
        <v>332.78085700967114</v>
      </c>
      <c r="F69" s="88">
        <f t="shared" si="6"/>
        <v>150655.82191816991</v>
      </c>
    </row>
    <row r="70" spans="2:6" x14ac:dyDescent="0.25">
      <c r="B70" s="84">
        <v>67</v>
      </c>
      <c r="C70" s="92">
        <f t="shared" si="4"/>
        <v>1200</v>
      </c>
      <c r="D70" s="87">
        <f t="shared" si="5"/>
        <v>869.12376375030317</v>
      </c>
      <c r="E70" s="87">
        <f t="shared" si="2"/>
        <v>330.87623624969689</v>
      </c>
      <c r="F70" s="88">
        <f t="shared" si="6"/>
        <v>149786.6981544196</v>
      </c>
    </row>
    <row r="71" spans="2:6" x14ac:dyDescent="0.25">
      <c r="B71" s="84">
        <v>68</v>
      </c>
      <c r="C71" s="92">
        <f t="shared" si="4"/>
        <v>1200</v>
      </c>
      <c r="D71" s="87">
        <f t="shared" si="5"/>
        <v>871.0325675132342</v>
      </c>
      <c r="E71" s="87">
        <f t="shared" ref="E71:E134" si="7">$I$5*F70</f>
        <v>328.96743248676586</v>
      </c>
      <c r="F71" s="88">
        <f t="shared" si="6"/>
        <v>148915.66558690637</v>
      </c>
    </row>
    <row r="72" spans="2:6" x14ac:dyDescent="0.25">
      <c r="B72" s="84">
        <v>69</v>
      </c>
      <c r="C72" s="92">
        <f t="shared" si="4"/>
        <v>1200</v>
      </c>
      <c r="D72" s="87">
        <f t="shared" si="5"/>
        <v>872.94556346599745</v>
      </c>
      <c r="E72" s="87">
        <f t="shared" si="7"/>
        <v>327.05443653400255</v>
      </c>
      <c r="F72" s="88">
        <f t="shared" si="6"/>
        <v>148042.72002344037</v>
      </c>
    </row>
    <row r="73" spans="2:6" x14ac:dyDescent="0.25">
      <c r="B73" s="84">
        <v>70</v>
      </c>
      <c r="C73" s="92">
        <f t="shared" si="4"/>
        <v>1200</v>
      </c>
      <c r="D73" s="87">
        <f t="shared" si="5"/>
        <v>874.86276081564506</v>
      </c>
      <c r="E73" s="87">
        <f t="shared" si="7"/>
        <v>325.13723918435494</v>
      </c>
      <c r="F73" s="88">
        <f t="shared" si="6"/>
        <v>147167.85726262472</v>
      </c>
    </row>
    <row r="74" spans="2:6" x14ac:dyDescent="0.25">
      <c r="B74" s="84">
        <v>71</v>
      </c>
      <c r="C74" s="92">
        <f t="shared" si="4"/>
        <v>1200</v>
      </c>
      <c r="D74" s="87">
        <f t="shared" si="5"/>
        <v>876.78416878944995</v>
      </c>
      <c r="E74" s="87">
        <f t="shared" si="7"/>
        <v>323.21583121054999</v>
      </c>
      <c r="F74" s="88">
        <f t="shared" si="6"/>
        <v>146291.07309383526</v>
      </c>
    </row>
    <row r="75" spans="2:6" x14ac:dyDescent="0.25">
      <c r="B75" s="84">
        <v>72</v>
      </c>
      <c r="C75" s="92">
        <f t="shared" si="4"/>
        <v>1200</v>
      </c>
      <c r="D75" s="87">
        <f t="shared" si="5"/>
        <v>878.70979663495041</v>
      </c>
      <c r="E75" s="87">
        <f t="shared" si="7"/>
        <v>321.29020336504965</v>
      </c>
      <c r="F75" s="88">
        <f t="shared" si="6"/>
        <v>145412.36329720033</v>
      </c>
    </row>
    <row r="76" spans="2:6" x14ac:dyDescent="0.25">
      <c r="B76" s="85">
        <v>73</v>
      </c>
      <c r="C76" s="96">
        <f t="shared" si="4"/>
        <v>1200</v>
      </c>
      <c r="D76" s="97">
        <f t="shared" si="5"/>
        <v>880.63965361999431</v>
      </c>
      <c r="E76" s="97">
        <f t="shared" si="7"/>
        <v>319.36034638000575</v>
      </c>
      <c r="F76" s="98">
        <f t="shared" si="6"/>
        <v>144531.72364358034</v>
      </c>
    </row>
    <row r="77" spans="2:6" x14ac:dyDescent="0.25">
      <c r="B77" s="84">
        <v>74</v>
      </c>
      <c r="C77" s="92">
        <f t="shared" si="4"/>
        <v>1200</v>
      </c>
      <c r="D77" s="87">
        <f t="shared" si="5"/>
        <v>882.57374903278401</v>
      </c>
      <c r="E77" s="87">
        <f t="shared" si="7"/>
        <v>317.42625096721594</v>
      </c>
      <c r="F77" s="88">
        <f t="shared" si="6"/>
        <v>143649.14989454756</v>
      </c>
    </row>
    <row r="78" spans="2:6" x14ac:dyDescent="0.25">
      <c r="B78" s="84">
        <v>75</v>
      </c>
      <c r="C78" s="92">
        <f t="shared" si="4"/>
        <v>1200</v>
      </c>
      <c r="D78" s="87">
        <f t="shared" si="5"/>
        <v>884.5120921819215</v>
      </c>
      <c r="E78" s="87">
        <f t="shared" si="7"/>
        <v>315.4879078180785</v>
      </c>
      <c r="F78" s="88">
        <f t="shared" si="6"/>
        <v>142764.63780236564</v>
      </c>
    </row>
    <row r="79" spans="2:6" x14ac:dyDescent="0.25">
      <c r="B79" s="84">
        <v>76</v>
      </c>
      <c r="C79" s="92">
        <f t="shared" si="4"/>
        <v>1200</v>
      </c>
      <c r="D79" s="87">
        <f t="shared" si="5"/>
        <v>886.45469239645195</v>
      </c>
      <c r="E79" s="87">
        <f t="shared" si="7"/>
        <v>313.54530760354805</v>
      </c>
      <c r="F79" s="88">
        <f t="shared" si="6"/>
        <v>141878.18310996919</v>
      </c>
    </row>
    <row r="80" spans="2:6" x14ac:dyDescent="0.25">
      <c r="B80" s="84">
        <v>77</v>
      </c>
      <c r="C80" s="92">
        <f t="shared" ref="C80:C143" si="8">MIN(F79+E80,$I$3)</f>
        <v>1200</v>
      </c>
      <c r="D80" s="87">
        <f t="shared" ref="D80:D143" si="9">MIN(C80-E80,F79)</f>
        <v>888.40155902590971</v>
      </c>
      <c r="E80" s="87">
        <f t="shared" si="7"/>
        <v>311.59844097409029</v>
      </c>
      <c r="F80" s="88">
        <f t="shared" ref="F80:F143" si="10">SUM(F79-D80)</f>
        <v>140989.78155094327</v>
      </c>
    </row>
    <row r="81" spans="2:6" x14ac:dyDescent="0.25">
      <c r="B81" s="84">
        <v>78</v>
      </c>
      <c r="C81" s="92">
        <f t="shared" si="8"/>
        <v>1200</v>
      </c>
      <c r="D81" s="87">
        <f t="shared" si="9"/>
        <v>890.35270144036303</v>
      </c>
      <c r="E81" s="87">
        <f t="shared" si="7"/>
        <v>309.64729855963702</v>
      </c>
      <c r="F81" s="88">
        <f t="shared" si="10"/>
        <v>140099.4288495029</v>
      </c>
    </row>
    <row r="82" spans="2:6" x14ac:dyDescent="0.25">
      <c r="B82" s="84">
        <v>79</v>
      </c>
      <c r="C82" s="92">
        <f t="shared" si="8"/>
        <v>1200</v>
      </c>
      <c r="D82" s="87">
        <f t="shared" si="9"/>
        <v>892.30812903045876</v>
      </c>
      <c r="E82" s="87">
        <f t="shared" si="7"/>
        <v>307.69187096954124</v>
      </c>
      <c r="F82" s="88">
        <f t="shared" si="10"/>
        <v>139207.12072047245</v>
      </c>
    </row>
    <row r="83" spans="2:6" x14ac:dyDescent="0.25">
      <c r="B83" s="84">
        <v>80</v>
      </c>
      <c r="C83" s="92">
        <f t="shared" si="8"/>
        <v>1200</v>
      </c>
      <c r="D83" s="87">
        <f t="shared" si="9"/>
        <v>894.26785120746808</v>
      </c>
      <c r="E83" s="87">
        <f t="shared" si="7"/>
        <v>305.73214879253192</v>
      </c>
      <c r="F83" s="88">
        <f t="shared" si="10"/>
        <v>138312.85286926499</v>
      </c>
    </row>
    <row r="84" spans="2:6" x14ac:dyDescent="0.25">
      <c r="B84" s="84">
        <v>81</v>
      </c>
      <c r="C84" s="92">
        <f t="shared" si="8"/>
        <v>1200</v>
      </c>
      <c r="D84" s="87">
        <f t="shared" si="9"/>
        <v>896.23187740333151</v>
      </c>
      <c r="E84" s="87">
        <f t="shared" si="7"/>
        <v>303.76812259666843</v>
      </c>
      <c r="F84" s="88">
        <f t="shared" si="10"/>
        <v>137416.62099186165</v>
      </c>
    </row>
    <row r="85" spans="2:6" x14ac:dyDescent="0.25">
      <c r="B85" s="84">
        <v>82</v>
      </c>
      <c r="C85" s="92">
        <f t="shared" si="8"/>
        <v>1200</v>
      </c>
      <c r="D85" s="87">
        <f t="shared" si="9"/>
        <v>898.20021707070453</v>
      </c>
      <c r="E85" s="87">
        <f t="shared" si="7"/>
        <v>301.79978292929547</v>
      </c>
      <c r="F85" s="88">
        <f t="shared" si="10"/>
        <v>136518.42077479095</v>
      </c>
    </row>
    <row r="86" spans="2:6" x14ac:dyDescent="0.25">
      <c r="B86" s="84">
        <v>83</v>
      </c>
      <c r="C86" s="92">
        <f t="shared" si="8"/>
        <v>1200</v>
      </c>
      <c r="D86" s="87">
        <f t="shared" si="9"/>
        <v>900.17287968300263</v>
      </c>
      <c r="E86" s="87">
        <f t="shared" si="7"/>
        <v>299.82712031699737</v>
      </c>
      <c r="F86" s="88">
        <f t="shared" si="10"/>
        <v>135618.24789510795</v>
      </c>
    </row>
    <row r="87" spans="2:6" x14ac:dyDescent="0.25">
      <c r="B87" s="86">
        <v>84</v>
      </c>
      <c r="C87" s="89">
        <f t="shared" si="8"/>
        <v>1200</v>
      </c>
      <c r="D87" s="90">
        <f t="shared" si="9"/>
        <v>902.14987473444739</v>
      </c>
      <c r="E87" s="90">
        <f t="shared" si="7"/>
        <v>297.85012526555261</v>
      </c>
      <c r="F87" s="91">
        <f t="shared" si="10"/>
        <v>134716.09802037349</v>
      </c>
    </row>
    <row r="88" spans="2:6" x14ac:dyDescent="0.25">
      <c r="B88" s="84">
        <v>85</v>
      </c>
      <c r="C88" s="92">
        <f t="shared" si="8"/>
        <v>1200</v>
      </c>
      <c r="D88" s="87">
        <f t="shared" si="9"/>
        <v>904.13121174011189</v>
      </c>
      <c r="E88" s="87">
        <f t="shared" si="7"/>
        <v>295.86878825988811</v>
      </c>
      <c r="F88" s="88">
        <f t="shared" si="10"/>
        <v>133811.96680863338</v>
      </c>
    </row>
    <row r="89" spans="2:6" x14ac:dyDescent="0.25">
      <c r="B89" s="84">
        <v>86</v>
      </c>
      <c r="C89" s="92">
        <f t="shared" si="8"/>
        <v>1200</v>
      </c>
      <c r="D89" s="87">
        <f t="shared" si="9"/>
        <v>906.11690023596657</v>
      </c>
      <c r="E89" s="87">
        <f t="shared" si="7"/>
        <v>293.88309976403343</v>
      </c>
      <c r="F89" s="88">
        <f t="shared" si="10"/>
        <v>132905.84990839742</v>
      </c>
    </row>
    <row r="90" spans="2:6" x14ac:dyDescent="0.25">
      <c r="B90" s="84">
        <v>87</v>
      </c>
      <c r="C90" s="92">
        <f t="shared" si="8"/>
        <v>1200</v>
      </c>
      <c r="D90" s="87">
        <f t="shared" si="9"/>
        <v>908.10694977892535</v>
      </c>
      <c r="E90" s="87">
        <f t="shared" si="7"/>
        <v>291.8930502210747</v>
      </c>
      <c r="F90" s="88">
        <f t="shared" si="10"/>
        <v>131997.7429586185</v>
      </c>
    </row>
    <row r="91" spans="2:6" x14ac:dyDescent="0.25">
      <c r="B91" s="84">
        <v>88</v>
      </c>
      <c r="C91" s="92">
        <f t="shared" si="8"/>
        <v>1200</v>
      </c>
      <c r="D91" s="87">
        <f t="shared" si="9"/>
        <v>910.10136994689094</v>
      </c>
      <c r="E91" s="87">
        <f t="shared" si="7"/>
        <v>289.89863005310906</v>
      </c>
      <c r="F91" s="88">
        <f t="shared" si="10"/>
        <v>131087.6415886716</v>
      </c>
    </row>
    <row r="92" spans="2:6" x14ac:dyDescent="0.25">
      <c r="B92" s="84">
        <v>89</v>
      </c>
      <c r="C92" s="92">
        <f t="shared" si="8"/>
        <v>1200</v>
      </c>
      <c r="D92" s="87">
        <f t="shared" si="9"/>
        <v>912.10017033880195</v>
      </c>
      <c r="E92" s="87">
        <f t="shared" si="7"/>
        <v>287.899829661198</v>
      </c>
      <c r="F92" s="88">
        <f t="shared" si="10"/>
        <v>130175.5414183328</v>
      </c>
    </row>
    <row r="93" spans="2:6" x14ac:dyDescent="0.25">
      <c r="B93" s="84">
        <v>90</v>
      </c>
      <c r="C93" s="92">
        <f t="shared" si="8"/>
        <v>1200</v>
      </c>
      <c r="D93" s="87">
        <f t="shared" si="9"/>
        <v>914.10336057467839</v>
      </c>
      <c r="E93" s="87">
        <f t="shared" si="7"/>
        <v>285.89663942532161</v>
      </c>
      <c r="F93" s="88">
        <f t="shared" si="10"/>
        <v>129261.43805775812</v>
      </c>
    </row>
    <row r="94" spans="2:6" x14ac:dyDescent="0.25">
      <c r="B94" s="84">
        <v>91</v>
      </c>
      <c r="C94" s="92">
        <f t="shared" si="8"/>
        <v>1200</v>
      </c>
      <c r="D94" s="87">
        <f t="shared" si="9"/>
        <v>916.11095029566786</v>
      </c>
      <c r="E94" s="87">
        <f t="shared" si="7"/>
        <v>283.88904970433208</v>
      </c>
      <c r="F94" s="88">
        <f t="shared" si="10"/>
        <v>128345.32710746245</v>
      </c>
    </row>
    <row r="95" spans="2:6" x14ac:dyDescent="0.25">
      <c r="B95" s="84">
        <v>92</v>
      </c>
      <c r="C95" s="92">
        <f t="shared" si="8"/>
        <v>1200</v>
      </c>
      <c r="D95" s="87">
        <f t="shared" si="9"/>
        <v>918.12294916409269</v>
      </c>
      <c r="E95" s="87">
        <f t="shared" si="7"/>
        <v>281.87705083590726</v>
      </c>
      <c r="F95" s="88">
        <f t="shared" si="10"/>
        <v>127427.20415829835</v>
      </c>
    </row>
    <row r="96" spans="2:6" x14ac:dyDescent="0.25">
      <c r="B96" s="84">
        <v>93</v>
      </c>
      <c r="C96" s="92">
        <f t="shared" si="8"/>
        <v>1200</v>
      </c>
      <c r="D96" s="87">
        <f t="shared" si="9"/>
        <v>920.13936686349564</v>
      </c>
      <c r="E96" s="87">
        <f t="shared" si="7"/>
        <v>279.86063313650436</v>
      </c>
      <c r="F96" s="88">
        <f t="shared" si="10"/>
        <v>126507.06479143485</v>
      </c>
    </row>
    <row r="97" spans="2:6" x14ac:dyDescent="0.25">
      <c r="B97" s="84">
        <v>94</v>
      </c>
      <c r="C97" s="92">
        <f t="shared" si="8"/>
        <v>1200</v>
      </c>
      <c r="D97" s="87">
        <f t="shared" si="9"/>
        <v>922.16021309868688</v>
      </c>
      <c r="E97" s="87">
        <f t="shared" si="7"/>
        <v>277.83978690131312</v>
      </c>
      <c r="F97" s="88">
        <f t="shared" si="10"/>
        <v>125584.90457833617</v>
      </c>
    </row>
    <row r="98" spans="2:6" x14ac:dyDescent="0.25">
      <c r="B98" s="84">
        <v>95</v>
      </c>
      <c r="C98" s="92">
        <f t="shared" si="8"/>
        <v>1200</v>
      </c>
      <c r="D98" s="87">
        <f t="shared" si="9"/>
        <v>924.18549759579071</v>
      </c>
      <c r="E98" s="87">
        <f t="shared" si="7"/>
        <v>275.81450240420929</v>
      </c>
      <c r="F98" s="88">
        <f t="shared" si="10"/>
        <v>124660.71908074037</v>
      </c>
    </row>
    <row r="99" spans="2:6" x14ac:dyDescent="0.25">
      <c r="B99" s="84">
        <v>96</v>
      </c>
      <c r="C99" s="92">
        <f t="shared" si="8"/>
        <v>1200</v>
      </c>
      <c r="D99" s="87">
        <f t="shared" si="9"/>
        <v>926.21523010229248</v>
      </c>
      <c r="E99" s="87">
        <f t="shared" si="7"/>
        <v>273.78476989770752</v>
      </c>
      <c r="F99" s="88">
        <f t="shared" si="10"/>
        <v>123734.50385063808</v>
      </c>
    </row>
    <row r="100" spans="2:6" x14ac:dyDescent="0.25">
      <c r="B100" s="85">
        <v>97</v>
      </c>
      <c r="C100" s="96">
        <f t="shared" si="8"/>
        <v>1200</v>
      </c>
      <c r="D100" s="97">
        <f t="shared" si="9"/>
        <v>928.24942038708514</v>
      </c>
      <c r="E100" s="97">
        <f t="shared" si="7"/>
        <v>271.75057961291486</v>
      </c>
      <c r="F100" s="98">
        <f t="shared" si="10"/>
        <v>122806.25443025099</v>
      </c>
    </row>
    <row r="101" spans="2:6" x14ac:dyDescent="0.25">
      <c r="B101" s="84">
        <v>98</v>
      </c>
      <c r="C101" s="92">
        <f t="shared" si="8"/>
        <v>1200</v>
      </c>
      <c r="D101" s="87">
        <f t="shared" si="9"/>
        <v>930.2880782405166</v>
      </c>
      <c r="E101" s="87">
        <f t="shared" si="7"/>
        <v>269.71192175948346</v>
      </c>
      <c r="F101" s="88">
        <f t="shared" si="10"/>
        <v>121875.96635201048</v>
      </c>
    </row>
    <row r="102" spans="2:6" x14ac:dyDescent="0.25">
      <c r="B102" s="84">
        <v>99</v>
      </c>
      <c r="C102" s="92">
        <f t="shared" si="8"/>
        <v>1200</v>
      </c>
      <c r="D102" s="87">
        <f t="shared" si="9"/>
        <v>932.33121347443648</v>
      </c>
      <c r="E102" s="87">
        <f t="shared" si="7"/>
        <v>267.66878652556346</v>
      </c>
      <c r="F102" s="88">
        <f t="shared" si="10"/>
        <v>120943.63513853605</v>
      </c>
    </row>
    <row r="103" spans="2:6" x14ac:dyDescent="0.25">
      <c r="B103" s="84">
        <v>100</v>
      </c>
      <c r="C103" s="92">
        <f t="shared" si="8"/>
        <v>1200</v>
      </c>
      <c r="D103" s="87">
        <f t="shared" si="9"/>
        <v>934.37883592224398</v>
      </c>
      <c r="E103" s="87">
        <f t="shared" si="7"/>
        <v>265.62116407775596</v>
      </c>
      <c r="F103" s="88">
        <f t="shared" si="10"/>
        <v>120009.25630261381</v>
      </c>
    </row>
    <row r="104" spans="2:6" x14ac:dyDescent="0.25">
      <c r="B104" s="84">
        <v>101</v>
      </c>
      <c r="C104" s="92">
        <f t="shared" si="8"/>
        <v>1200</v>
      </c>
      <c r="D104" s="87">
        <f t="shared" si="9"/>
        <v>936.43095543893446</v>
      </c>
      <c r="E104" s="87">
        <f t="shared" si="7"/>
        <v>263.56904456106548</v>
      </c>
      <c r="F104" s="88">
        <f t="shared" si="10"/>
        <v>119072.82534717488</v>
      </c>
    </row>
    <row r="105" spans="2:6" x14ac:dyDescent="0.25">
      <c r="B105" s="84">
        <v>102</v>
      </c>
      <c r="C105" s="92">
        <f t="shared" si="8"/>
        <v>1200</v>
      </c>
      <c r="D105" s="87">
        <f t="shared" si="9"/>
        <v>938.48758190114745</v>
      </c>
      <c r="E105" s="87">
        <f t="shared" si="7"/>
        <v>261.51241809885261</v>
      </c>
      <c r="F105" s="88">
        <f t="shared" si="10"/>
        <v>118134.33776527373</v>
      </c>
    </row>
    <row r="106" spans="2:6" x14ac:dyDescent="0.25">
      <c r="B106" s="84">
        <v>103</v>
      </c>
      <c r="C106" s="92">
        <f t="shared" si="8"/>
        <v>1200</v>
      </c>
      <c r="D106" s="87">
        <f t="shared" si="9"/>
        <v>940.54872520721358</v>
      </c>
      <c r="E106" s="87">
        <f t="shared" si="7"/>
        <v>259.45127479278642</v>
      </c>
      <c r="F106" s="88">
        <f t="shared" si="10"/>
        <v>117193.78904006651</v>
      </c>
    </row>
    <row r="107" spans="2:6" x14ac:dyDescent="0.25">
      <c r="B107" s="84">
        <v>104</v>
      </c>
      <c r="C107" s="92">
        <f t="shared" si="8"/>
        <v>1200</v>
      </c>
      <c r="D107" s="87">
        <f t="shared" si="9"/>
        <v>942.6143952772029</v>
      </c>
      <c r="E107" s="87">
        <f t="shared" si="7"/>
        <v>257.38560472279704</v>
      </c>
      <c r="F107" s="88">
        <f t="shared" si="10"/>
        <v>116251.17464478931</v>
      </c>
    </row>
    <row r="108" spans="2:6" x14ac:dyDescent="0.25">
      <c r="B108" s="84">
        <v>105</v>
      </c>
      <c r="C108" s="92">
        <f t="shared" si="8"/>
        <v>1200</v>
      </c>
      <c r="D108" s="87">
        <f t="shared" si="9"/>
        <v>944.68460205297231</v>
      </c>
      <c r="E108" s="87">
        <f t="shared" si="7"/>
        <v>255.31539794702766</v>
      </c>
      <c r="F108" s="88">
        <f t="shared" si="10"/>
        <v>115306.49004273633</v>
      </c>
    </row>
    <row r="109" spans="2:6" x14ac:dyDescent="0.25">
      <c r="B109" s="84">
        <v>106</v>
      </c>
      <c r="C109" s="92">
        <f t="shared" si="8"/>
        <v>1200</v>
      </c>
      <c r="D109" s="87">
        <f t="shared" si="9"/>
        <v>946.75935549821338</v>
      </c>
      <c r="E109" s="87">
        <f t="shared" si="7"/>
        <v>253.24064450178668</v>
      </c>
      <c r="F109" s="88">
        <f t="shared" si="10"/>
        <v>114359.73068723812</v>
      </c>
    </row>
    <row r="110" spans="2:6" x14ac:dyDescent="0.25">
      <c r="B110" s="84">
        <v>107</v>
      </c>
      <c r="C110" s="92">
        <f t="shared" si="8"/>
        <v>1200</v>
      </c>
      <c r="D110" s="87">
        <f t="shared" si="9"/>
        <v>948.83866559850003</v>
      </c>
      <c r="E110" s="87">
        <f t="shared" si="7"/>
        <v>251.16133440150003</v>
      </c>
      <c r="F110" s="88">
        <f t="shared" si="10"/>
        <v>113410.89202163962</v>
      </c>
    </row>
    <row r="111" spans="2:6" x14ac:dyDescent="0.25">
      <c r="B111" s="86">
        <v>108</v>
      </c>
      <c r="C111" s="89">
        <f t="shared" si="8"/>
        <v>1200</v>
      </c>
      <c r="D111" s="90">
        <f t="shared" si="9"/>
        <v>950.92254236133715</v>
      </c>
      <c r="E111" s="90">
        <f t="shared" si="7"/>
        <v>249.07745763866282</v>
      </c>
      <c r="F111" s="91">
        <f t="shared" si="10"/>
        <v>112459.96947927828</v>
      </c>
    </row>
    <row r="112" spans="2:6" x14ac:dyDescent="0.25">
      <c r="B112" s="84">
        <v>109</v>
      </c>
      <c r="C112" s="92">
        <f t="shared" si="8"/>
        <v>1200</v>
      </c>
      <c r="D112" s="87">
        <f t="shared" si="9"/>
        <v>953.01099581620872</v>
      </c>
      <c r="E112" s="87">
        <f t="shared" si="7"/>
        <v>246.98900418379128</v>
      </c>
      <c r="F112" s="88">
        <f t="shared" si="10"/>
        <v>111506.95848346208</v>
      </c>
    </row>
    <row r="113" spans="2:6" x14ac:dyDescent="0.25">
      <c r="B113" s="84">
        <v>110</v>
      </c>
      <c r="C113" s="92">
        <f t="shared" si="8"/>
        <v>1200</v>
      </c>
      <c r="D113" s="87">
        <f t="shared" si="9"/>
        <v>955.10403601462542</v>
      </c>
      <c r="E113" s="87">
        <f t="shared" si="7"/>
        <v>244.89596398537455</v>
      </c>
      <c r="F113" s="88">
        <f t="shared" si="10"/>
        <v>110551.85444744745</v>
      </c>
    </row>
    <row r="114" spans="2:6" x14ac:dyDescent="0.25">
      <c r="B114" s="84">
        <v>111</v>
      </c>
      <c r="C114" s="92">
        <f t="shared" si="8"/>
        <v>1200</v>
      </c>
      <c r="D114" s="87">
        <f t="shared" si="9"/>
        <v>957.20167303017377</v>
      </c>
      <c r="E114" s="87">
        <f t="shared" si="7"/>
        <v>242.79832696982621</v>
      </c>
      <c r="F114" s="88">
        <f t="shared" si="10"/>
        <v>109594.65277441728</v>
      </c>
    </row>
    <row r="115" spans="2:6" x14ac:dyDescent="0.25">
      <c r="B115" s="84">
        <v>112</v>
      </c>
      <c r="C115" s="92">
        <f t="shared" si="8"/>
        <v>1200</v>
      </c>
      <c r="D115" s="87">
        <f t="shared" si="9"/>
        <v>959.30391695856417</v>
      </c>
      <c r="E115" s="87">
        <f t="shared" si="7"/>
        <v>240.69608304143583</v>
      </c>
      <c r="F115" s="88">
        <f t="shared" si="10"/>
        <v>108635.34885745871</v>
      </c>
    </row>
    <row r="116" spans="2:6" x14ac:dyDescent="0.25">
      <c r="B116" s="84">
        <v>113</v>
      </c>
      <c r="C116" s="92">
        <f t="shared" si="8"/>
        <v>1200</v>
      </c>
      <c r="D116" s="87">
        <f t="shared" si="9"/>
        <v>961.41077791767964</v>
      </c>
      <c r="E116" s="87">
        <f t="shared" si="7"/>
        <v>238.58922208232036</v>
      </c>
      <c r="F116" s="88">
        <f t="shared" si="10"/>
        <v>107673.93807954103</v>
      </c>
    </row>
    <row r="117" spans="2:6" x14ac:dyDescent="0.25">
      <c r="B117" s="84">
        <v>114</v>
      </c>
      <c r="C117" s="92">
        <f t="shared" si="8"/>
        <v>1200</v>
      </c>
      <c r="D117" s="87">
        <f t="shared" si="9"/>
        <v>963.5222660476245</v>
      </c>
      <c r="E117" s="87">
        <f t="shared" si="7"/>
        <v>236.47773395237553</v>
      </c>
      <c r="F117" s="88">
        <f t="shared" si="10"/>
        <v>106710.4158134934</v>
      </c>
    </row>
    <row r="118" spans="2:6" x14ac:dyDescent="0.25">
      <c r="B118" s="84">
        <v>115</v>
      </c>
      <c r="C118" s="92">
        <f t="shared" si="8"/>
        <v>1200</v>
      </c>
      <c r="D118" s="87">
        <f t="shared" si="9"/>
        <v>965.63839151077309</v>
      </c>
      <c r="E118" s="87">
        <f t="shared" si="7"/>
        <v>234.36160848922694</v>
      </c>
      <c r="F118" s="88">
        <f t="shared" si="10"/>
        <v>105744.77742198262</v>
      </c>
    </row>
    <row r="119" spans="2:6" x14ac:dyDescent="0.25">
      <c r="B119" s="84">
        <v>116</v>
      </c>
      <c r="C119" s="92">
        <f t="shared" si="8"/>
        <v>1200</v>
      </c>
      <c r="D119" s="87">
        <f t="shared" si="9"/>
        <v>967.75916449181886</v>
      </c>
      <c r="E119" s="87">
        <f t="shared" si="7"/>
        <v>232.24083550818119</v>
      </c>
      <c r="F119" s="88">
        <f t="shared" si="10"/>
        <v>104777.01825749081</v>
      </c>
    </row>
    <row r="120" spans="2:6" x14ac:dyDescent="0.25">
      <c r="B120" s="84">
        <v>117</v>
      </c>
      <c r="C120" s="92">
        <f t="shared" si="8"/>
        <v>1200</v>
      </c>
      <c r="D120" s="87">
        <f t="shared" si="9"/>
        <v>969.88459519782316</v>
      </c>
      <c r="E120" s="87">
        <f t="shared" si="7"/>
        <v>230.11540480217684</v>
      </c>
      <c r="F120" s="88">
        <f t="shared" si="10"/>
        <v>103807.13366229298</v>
      </c>
    </row>
    <row r="121" spans="2:6" x14ac:dyDescent="0.25">
      <c r="B121" s="84">
        <v>118</v>
      </c>
      <c r="C121" s="92">
        <f t="shared" si="8"/>
        <v>1200</v>
      </c>
      <c r="D121" s="87">
        <f t="shared" si="9"/>
        <v>972.01469385826476</v>
      </c>
      <c r="E121" s="87">
        <f t="shared" si="7"/>
        <v>227.98530614173526</v>
      </c>
      <c r="F121" s="88">
        <f t="shared" si="10"/>
        <v>102835.11896843472</v>
      </c>
    </row>
    <row r="122" spans="2:6" x14ac:dyDescent="0.25">
      <c r="B122" s="84">
        <v>119</v>
      </c>
      <c r="C122" s="92">
        <f t="shared" si="8"/>
        <v>1200</v>
      </c>
      <c r="D122" s="87">
        <f t="shared" si="9"/>
        <v>974.14947072508846</v>
      </c>
      <c r="E122" s="87">
        <f t="shared" si="7"/>
        <v>225.85052927491154</v>
      </c>
      <c r="F122" s="88">
        <f t="shared" si="10"/>
        <v>101860.96949770964</v>
      </c>
    </row>
    <row r="123" spans="2:6" x14ac:dyDescent="0.25">
      <c r="B123" s="84">
        <v>120</v>
      </c>
      <c r="C123" s="92">
        <f t="shared" si="8"/>
        <v>1200</v>
      </c>
      <c r="D123" s="87">
        <f t="shared" si="9"/>
        <v>976.28893607275506</v>
      </c>
      <c r="E123" s="87">
        <f t="shared" si="7"/>
        <v>223.71106392724496</v>
      </c>
      <c r="F123" s="88">
        <f t="shared" si="10"/>
        <v>100884.68056163688</v>
      </c>
    </row>
    <row r="124" spans="2:6" x14ac:dyDescent="0.25">
      <c r="B124" s="85">
        <v>121</v>
      </c>
      <c r="C124" s="96">
        <f t="shared" si="8"/>
        <v>1200</v>
      </c>
      <c r="D124" s="97">
        <f t="shared" si="9"/>
        <v>978.43310019829028</v>
      </c>
      <c r="E124" s="97">
        <f t="shared" si="7"/>
        <v>221.56689980170967</v>
      </c>
      <c r="F124" s="98">
        <f t="shared" si="10"/>
        <v>99906.247461438586</v>
      </c>
    </row>
    <row r="125" spans="2:6" x14ac:dyDescent="0.25">
      <c r="B125" s="84">
        <v>122</v>
      </c>
      <c r="C125" s="92">
        <f t="shared" si="8"/>
        <v>1200</v>
      </c>
      <c r="D125" s="87">
        <f t="shared" si="9"/>
        <v>980.58197342133496</v>
      </c>
      <c r="E125" s="87">
        <f t="shared" si="7"/>
        <v>219.41802657866506</v>
      </c>
      <c r="F125" s="88">
        <f t="shared" si="10"/>
        <v>98925.665488017257</v>
      </c>
    </row>
    <row r="126" spans="2:6" x14ac:dyDescent="0.25">
      <c r="B126" s="84">
        <v>123</v>
      </c>
      <c r="C126" s="92">
        <f t="shared" si="8"/>
        <v>1200</v>
      </c>
      <c r="D126" s="87">
        <f t="shared" si="9"/>
        <v>982.73556608419381</v>
      </c>
      <c r="E126" s="87">
        <f t="shared" si="7"/>
        <v>217.26443391580614</v>
      </c>
      <c r="F126" s="88">
        <f t="shared" si="10"/>
        <v>97942.929921933057</v>
      </c>
    </row>
    <row r="127" spans="2:6" x14ac:dyDescent="0.25">
      <c r="B127" s="84">
        <v>124</v>
      </c>
      <c r="C127" s="92">
        <f t="shared" si="8"/>
        <v>1200</v>
      </c>
      <c r="D127" s="87">
        <f t="shared" si="9"/>
        <v>984.89388855188622</v>
      </c>
      <c r="E127" s="87">
        <f t="shared" si="7"/>
        <v>215.10611144811372</v>
      </c>
      <c r="F127" s="88">
        <f t="shared" si="10"/>
        <v>96958.03603338117</v>
      </c>
    </row>
    <row r="128" spans="2:6" x14ac:dyDescent="0.25">
      <c r="B128" s="84">
        <v>125</v>
      </c>
      <c r="C128" s="92">
        <f t="shared" si="8"/>
        <v>1200</v>
      </c>
      <c r="D128" s="87">
        <f t="shared" si="9"/>
        <v>987.05695121219537</v>
      </c>
      <c r="E128" s="87">
        <f t="shared" si="7"/>
        <v>212.94304878780457</v>
      </c>
      <c r="F128" s="88">
        <f t="shared" si="10"/>
        <v>95970.979082168968</v>
      </c>
    </row>
    <row r="129" spans="2:6" x14ac:dyDescent="0.25">
      <c r="B129" s="84">
        <v>126</v>
      </c>
      <c r="C129" s="92">
        <f t="shared" si="8"/>
        <v>1200</v>
      </c>
      <c r="D129" s="87">
        <f t="shared" si="9"/>
        <v>989.22476447571864</v>
      </c>
      <c r="E129" s="87">
        <f t="shared" si="7"/>
        <v>210.77523552428138</v>
      </c>
      <c r="F129" s="88">
        <f t="shared" si="10"/>
        <v>94981.754317693252</v>
      </c>
    </row>
    <row r="130" spans="2:6" x14ac:dyDescent="0.25">
      <c r="B130" s="84">
        <v>127</v>
      </c>
      <c r="C130" s="92">
        <f t="shared" si="8"/>
        <v>1200</v>
      </c>
      <c r="D130" s="87">
        <f t="shared" si="9"/>
        <v>991.39733877591721</v>
      </c>
      <c r="E130" s="87">
        <f t="shared" si="7"/>
        <v>208.60266122408277</v>
      </c>
      <c r="F130" s="88">
        <f t="shared" si="10"/>
        <v>93990.356978917334</v>
      </c>
    </row>
    <row r="131" spans="2:6" x14ac:dyDescent="0.25">
      <c r="B131" s="84">
        <v>128</v>
      </c>
      <c r="C131" s="92">
        <f t="shared" si="8"/>
        <v>1200</v>
      </c>
      <c r="D131" s="87">
        <f t="shared" si="9"/>
        <v>993.57468456916718</v>
      </c>
      <c r="E131" s="87">
        <f t="shared" si="7"/>
        <v>206.4253154308328</v>
      </c>
      <c r="F131" s="88">
        <f t="shared" si="10"/>
        <v>92996.782294348173</v>
      </c>
    </row>
    <row r="132" spans="2:6" x14ac:dyDescent="0.25">
      <c r="B132" s="84">
        <v>129</v>
      </c>
      <c r="C132" s="92">
        <f t="shared" si="8"/>
        <v>1200</v>
      </c>
      <c r="D132" s="87">
        <f t="shared" si="9"/>
        <v>995.75681233480896</v>
      </c>
      <c r="E132" s="87">
        <f t="shared" si="7"/>
        <v>204.24318766519102</v>
      </c>
      <c r="F132" s="88">
        <f t="shared" si="10"/>
        <v>92001.02548201337</v>
      </c>
    </row>
    <row r="133" spans="2:6" x14ac:dyDescent="0.25">
      <c r="B133" s="84">
        <v>130</v>
      </c>
      <c r="C133" s="92">
        <f t="shared" si="8"/>
        <v>1200</v>
      </c>
      <c r="D133" s="87">
        <f t="shared" si="9"/>
        <v>997.94373257519828</v>
      </c>
      <c r="E133" s="87">
        <f t="shared" si="7"/>
        <v>202.05626742480169</v>
      </c>
      <c r="F133" s="88">
        <f t="shared" si="10"/>
        <v>91003.081749438177</v>
      </c>
    </row>
    <row r="134" spans="2:6" x14ac:dyDescent="0.25">
      <c r="B134" s="84">
        <v>131</v>
      </c>
      <c r="C134" s="92">
        <f t="shared" si="8"/>
        <v>1200</v>
      </c>
      <c r="D134" s="87">
        <f t="shared" si="9"/>
        <v>1000.1354558157566</v>
      </c>
      <c r="E134" s="87">
        <f t="shared" si="7"/>
        <v>199.86454418424347</v>
      </c>
      <c r="F134" s="88">
        <f t="shared" si="10"/>
        <v>90002.946293622415</v>
      </c>
    </row>
    <row r="135" spans="2:6" x14ac:dyDescent="0.25">
      <c r="B135" s="86">
        <v>132</v>
      </c>
      <c r="C135" s="89">
        <f t="shared" si="8"/>
        <v>1200</v>
      </c>
      <c r="D135" s="90">
        <f t="shared" si="9"/>
        <v>1002.3319926050214</v>
      </c>
      <c r="E135" s="90">
        <f t="shared" ref="E135:E198" si="11">$I$5*F134</f>
        <v>197.66800739497862</v>
      </c>
      <c r="F135" s="91">
        <f t="shared" si="10"/>
        <v>89000.614301017398</v>
      </c>
    </row>
    <row r="136" spans="2:6" x14ac:dyDescent="0.25">
      <c r="B136" s="84">
        <v>133</v>
      </c>
      <c r="C136" s="92">
        <f t="shared" si="8"/>
        <v>1200</v>
      </c>
      <c r="D136" s="87">
        <f t="shared" si="9"/>
        <v>1004.5333535146976</v>
      </c>
      <c r="E136" s="87">
        <f t="shared" si="11"/>
        <v>195.46664648530236</v>
      </c>
      <c r="F136" s="88">
        <f t="shared" si="10"/>
        <v>87996.080947502705</v>
      </c>
    </row>
    <row r="137" spans="2:6" x14ac:dyDescent="0.25">
      <c r="B137" s="84">
        <v>134</v>
      </c>
      <c r="C137" s="92">
        <f t="shared" si="8"/>
        <v>1200</v>
      </c>
      <c r="D137" s="87">
        <f t="shared" si="9"/>
        <v>1006.7395491397082</v>
      </c>
      <c r="E137" s="87">
        <f t="shared" si="11"/>
        <v>193.26045086029185</v>
      </c>
      <c r="F137" s="88">
        <f t="shared" si="10"/>
        <v>86989.341398363002</v>
      </c>
    </row>
    <row r="138" spans="2:6" x14ac:dyDescent="0.25">
      <c r="B138" s="84">
        <v>135</v>
      </c>
      <c r="C138" s="92">
        <f t="shared" si="8"/>
        <v>1200</v>
      </c>
      <c r="D138" s="87">
        <f t="shared" si="9"/>
        <v>1008.9505900982447</v>
      </c>
      <c r="E138" s="87">
        <f t="shared" si="11"/>
        <v>191.0494099017553</v>
      </c>
      <c r="F138" s="88">
        <f t="shared" si="10"/>
        <v>85980.390808264754</v>
      </c>
    </row>
    <row r="139" spans="2:6" x14ac:dyDescent="0.25">
      <c r="B139" s="84">
        <v>136</v>
      </c>
      <c r="C139" s="92">
        <f t="shared" si="8"/>
        <v>1200</v>
      </c>
      <c r="D139" s="87">
        <f t="shared" si="9"/>
        <v>1011.1664870318192</v>
      </c>
      <c r="E139" s="87">
        <f t="shared" si="11"/>
        <v>188.8335129681808</v>
      </c>
      <c r="F139" s="88">
        <f t="shared" si="10"/>
        <v>84969.224321232934</v>
      </c>
    </row>
    <row r="140" spans="2:6" x14ac:dyDescent="0.25">
      <c r="B140" s="84">
        <v>137</v>
      </c>
      <c r="C140" s="92">
        <f t="shared" si="8"/>
        <v>1200</v>
      </c>
      <c r="D140" s="87">
        <f t="shared" si="9"/>
        <v>1013.3872506053149</v>
      </c>
      <c r="E140" s="87">
        <f t="shared" si="11"/>
        <v>186.61274939468518</v>
      </c>
      <c r="F140" s="88">
        <f t="shared" si="10"/>
        <v>83955.837070627618</v>
      </c>
    </row>
    <row r="141" spans="2:6" x14ac:dyDescent="0.25">
      <c r="B141" s="84">
        <v>138</v>
      </c>
      <c r="C141" s="92">
        <f t="shared" si="8"/>
        <v>1200</v>
      </c>
      <c r="D141" s="87">
        <f t="shared" si="9"/>
        <v>1015.6128915070374</v>
      </c>
      <c r="E141" s="87">
        <f t="shared" si="11"/>
        <v>184.38710849296257</v>
      </c>
      <c r="F141" s="88">
        <f t="shared" si="10"/>
        <v>82940.224179120574</v>
      </c>
    </row>
    <row r="142" spans="2:6" x14ac:dyDescent="0.25">
      <c r="B142" s="84">
        <v>139</v>
      </c>
      <c r="C142" s="92">
        <f t="shared" si="8"/>
        <v>1200</v>
      </c>
      <c r="D142" s="87">
        <f t="shared" si="9"/>
        <v>1017.8434204487669</v>
      </c>
      <c r="E142" s="87">
        <f t="shared" si="11"/>
        <v>182.15657955123308</v>
      </c>
      <c r="F142" s="88">
        <f t="shared" si="10"/>
        <v>81922.380758671803</v>
      </c>
    </row>
    <row r="143" spans="2:6" x14ac:dyDescent="0.25">
      <c r="B143" s="84">
        <v>140</v>
      </c>
      <c r="C143" s="92">
        <f t="shared" si="8"/>
        <v>1200</v>
      </c>
      <c r="D143" s="87">
        <f t="shared" si="9"/>
        <v>1020.0788481658088</v>
      </c>
      <c r="E143" s="87">
        <f t="shared" si="11"/>
        <v>179.92115183419116</v>
      </c>
      <c r="F143" s="88">
        <f t="shared" si="10"/>
        <v>80902.301910505994</v>
      </c>
    </row>
    <row r="144" spans="2:6" x14ac:dyDescent="0.25">
      <c r="B144" s="84">
        <v>141</v>
      </c>
      <c r="C144" s="92">
        <f t="shared" ref="C144:C207" si="12">MIN(F143+E144,$I$3)</f>
        <v>1200</v>
      </c>
      <c r="D144" s="87">
        <f t="shared" ref="D144:D207" si="13">MIN(C144-E144,F143)</f>
        <v>1022.319185417046</v>
      </c>
      <c r="E144" s="87">
        <f t="shared" si="11"/>
        <v>177.68081458295401</v>
      </c>
      <c r="F144" s="88">
        <f t="shared" ref="F144:F207" si="14">SUM(F143-D144)</f>
        <v>79879.98272508895</v>
      </c>
    </row>
    <row r="145" spans="2:6" x14ac:dyDescent="0.25">
      <c r="B145" s="84">
        <v>142</v>
      </c>
      <c r="C145" s="92">
        <f t="shared" si="12"/>
        <v>1200</v>
      </c>
      <c r="D145" s="87">
        <f t="shared" si="13"/>
        <v>1024.5644429849904</v>
      </c>
      <c r="E145" s="87">
        <f t="shared" si="11"/>
        <v>175.43555701500966</v>
      </c>
      <c r="F145" s="88">
        <f t="shared" si="14"/>
        <v>78855.418282103958</v>
      </c>
    </row>
    <row r="146" spans="2:6" x14ac:dyDescent="0.25">
      <c r="B146" s="84">
        <v>143</v>
      </c>
      <c r="C146" s="92">
        <f t="shared" si="12"/>
        <v>1200</v>
      </c>
      <c r="D146" s="87">
        <f t="shared" si="13"/>
        <v>1026.8146316758348</v>
      </c>
      <c r="E146" s="87">
        <f t="shared" si="11"/>
        <v>173.18536832416521</v>
      </c>
      <c r="F146" s="88">
        <f t="shared" si="14"/>
        <v>77828.603650428122</v>
      </c>
    </row>
    <row r="147" spans="2:6" x14ac:dyDescent="0.25">
      <c r="B147" s="84">
        <v>144</v>
      </c>
      <c r="C147" s="92">
        <f t="shared" si="12"/>
        <v>1200</v>
      </c>
      <c r="D147" s="87">
        <f t="shared" si="13"/>
        <v>1029.0697623195051</v>
      </c>
      <c r="E147" s="87">
        <f t="shared" si="11"/>
        <v>170.93023768049477</v>
      </c>
      <c r="F147" s="88">
        <f t="shared" si="14"/>
        <v>76799.533888108621</v>
      </c>
    </row>
    <row r="148" spans="2:6" x14ac:dyDescent="0.25">
      <c r="B148" s="85">
        <v>145</v>
      </c>
      <c r="C148" s="96">
        <f t="shared" si="12"/>
        <v>1200</v>
      </c>
      <c r="D148" s="97">
        <f t="shared" si="13"/>
        <v>1031.3298457697126</v>
      </c>
      <c r="E148" s="97">
        <f t="shared" si="11"/>
        <v>168.67015423028738</v>
      </c>
      <c r="F148" s="98">
        <f t="shared" si="14"/>
        <v>75768.204042338912</v>
      </c>
    </row>
    <row r="149" spans="2:6" x14ac:dyDescent="0.25">
      <c r="B149" s="84">
        <v>146</v>
      </c>
      <c r="C149" s="92">
        <f t="shared" si="12"/>
        <v>1200</v>
      </c>
      <c r="D149" s="87">
        <f t="shared" si="13"/>
        <v>1033.5948929040053</v>
      </c>
      <c r="E149" s="87">
        <f t="shared" si="11"/>
        <v>166.40510709599471</v>
      </c>
      <c r="F149" s="88">
        <f t="shared" si="14"/>
        <v>74734.609149434909</v>
      </c>
    </row>
    <row r="150" spans="2:6" x14ac:dyDescent="0.25">
      <c r="B150" s="84">
        <v>147</v>
      </c>
      <c r="C150" s="92">
        <f t="shared" si="12"/>
        <v>1200</v>
      </c>
      <c r="D150" s="87">
        <f t="shared" si="13"/>
        <v>1035.8649146238213</v>
      </c>
      <c r="E150" s="87">
        <f t="shared" si="11"/>
        <v>164.13508537617864</v>
      </c>
      <c r="F150" s="88">
        <f t="shared" si="14"/>
        <v>73698.744234811093</v>
      </c>
    </row>
    <row r="151" spans="2:6" x14ac:dyDescent="0.25">
      <c r="B151" s="84">
        <v>148</v>
      </c>
      <c r="C151" s="92">
        <f t="shared" si="12"/>
        <v>1200</v>
      </c>
      <c r="D151" s="87">
        <f t="shared" si="13"/>
        <v>1038.1399218545409</v>
      </c>
      <c r="E151" s="87">
        <f t="shared" si="11"/>
        <v>161.86007814545903</v>
      </c>
      <c r="F151" s="88">
        <f t="shared" si="14"/>
        <v>72660.604312956551</v>
      </c>
    </row>
    <row r="152" spans="2:6" x14ac:dyDescent="0.25">
      <c r="B152" s="84">
        <v>149</v>
      </c>
      <c r="C152" s="92">
        <f t="shared" si="12"/>
        <v>1200</v>
      </c>
      <c r="D152" s="87">
        <f t="shared" si="13"/>
        <v>1040.4199255455392</v>
      </c>
      <c r="E152" s="87">
        <f t="shared" si="11"/>
        <v>159.58007445446091</v>
      </c>
      <c r="F152" s="88">
        <f t="shared" si="14"/>
        <v>71620.184387411005</v>
      </c>
    </row>
    <row r="153" spans="2:6" x14ac:dyDescent="0.25">
      <c r="B153" s="84">
        <v>150</v>
      </c>
      <c r="C153" s="92">
        <f t="shared" si="12"/>
        <v>1200</v>
      </c>
      <c r="D153" s="87">
        <f t="shared" si="13"/>
        <v>1042.7049366702381</v>
      </c>
      <c r="E153" s="87">
        <f t="shared" si="11"/>
        <v>157.29506332976183</v>
      </c>
      <c r="F153" s="88">
        <f t="shared" si="14"/>
        <v>70577.479450740764</v>
      </c>
    </row>
    <row r="154" spans="2:6" x14ac:dyDescent="0.25">
      <c r="B154" s="84">
        <v>151</v>
      </c>
      <c r="C154" s="92">
        <f t="shared" si="12"/>
        <v>1200</v>
      </c>
      <c r="D154" s="87">
        <f t="shared" si="13"/>
        <v>1044.9949662261608</v>
      </c>
      <c r="E154" s="87">
        <f t="shared" si="11"/>
        <v>155.00503377383919</v>
      </c>
      <c r="F154" s="88">
        <f t="shared" si="14"/>
        <v>69532.4844845146</v>
      </c>
    </row>
    <row r="155" spans="2:6" x14ac:dyDescent="0.25">
      <c r="B155" s="84">
        <v>152</v>
      </c>
      <c r="C155" s="92">
        <f t="shared" si="12"/>
        <v>1200</v>
      </c>
      <c r="D155" s="87">
        <f t="shared" si="13"/>
        <v>1047.290025234983</v>
      </c>
      <c r="E155" s="87">
        <f t="shared" si="11"/>
        <v>152.70997476501711</v>
      </c>
      <c r="F155" s="88">
        <f t="shared" si="14"/>
        <v>68485.194459279621</v>
      </c>
    </row>
    <row r="156" spans="2:6" x14ac:dyDescent="0.25">
      <c r="B156" s="84">
        <v>153</v>
      </c>
      <c r="C156" s="92">
        <f t="shared" si="12"/>
        <v>1200</v>
      </c>
      <c r="D156" s="87">
        <f t="shared" si="13"/>
        <v>1049.5901247425866</v>
      </c>
      <c r="E156" s="87">
        <f t="shared" si="11"/>
        <v>150.40987525741349</v>
      </c>
      <c r="F156" s="88">
        <f t="shared" si="14"/>
        <v>67435.604334537027</v>
      </c>
    </row>
    <row r="157" spans="2:6" x14ac:dyDescent="0.25">
      <c r="B157" s="84">
        <v>154</v>
      </c>
      <c r="C157" s="92">
        <f t="shared" si="12"/>
        <v>1200</v>
      </c>
      <c r="D157" s="87">
        <f t="shared" si="13"/>
        <v>1051.8952758191131</v>
      </c>
      <c r="E157" s="87">
        <f t="shared" si="11"/>
        <v>148.10472418088682</v>
      </c>
      <c r="F157" s="88">
        <f t="shared" si="14"/>
        <v>66383.709058717912</v>
      </c>
    </row>
    <row r="158" spans="2:6" x14ac:dyDescent="0.25">
      <c r="B158" s="84">
        <v>155</v>
      </c>
      <c r="C158" s="92">
        <f t="shared" si="12"/>
        <v>1200</v>
      </c>
      <c r="D158" s="87">
        <f t="shared" si="13"/>
        <v>1054.205489559017</v>
      </c>
      <c r="E158" s="87">
        <f t="shared" si="11"/>
        <v>145.79451044098295</v>
      </c>
      <c r="F158" s="88">
        <f t="shared" si="14"/>
        <v>65329.503569158893</v>
      </c>
    </row>
    <row r="159" spans="2:6" x14ac:dyDescent="0.25">
      <c r="B159" s="86">
        <v>156</v>
      </c>
      <c r="C159" s="89">
        <f t="shared" si="12"/>
        <v>1200</v>
      </c>
      <c r="D159" s="90">
        <f t="shared" si="13"/>
        <v>1056.5207770811185</v>
      </c>
      <c r="E159" s="90">
        <f t="shared" si="11"/>
        <v>143.47922291888165</v>
      </c>
      <c r="F159" s="91">
        <f t="shared" si="14"/>
        <v>64272.982792077775</v>
      </c>
    </row>
    <row r="160" spans="2:6" x14ac:dyDescent="0.25">
      <c r="B160" s="84">
        <v>157</v>
      </c>
      <c r="C160" s="92">
        <f t="shared" si="12"/>
        <v>1200</v>
      </c>
      <c r="D160" s="87">
        <f t="shared" si="13"/>
        <v>1058.8411495286571</v>
      </c>
      <c r="E160" s="87">
        <f t="shared" si="11"/>
        <v>141.15885047134302</v>
      </c>
      <c r="F160" s="88">
        <f t="shared" si="14"/>
        <v>63214.141642549119</v>
      </c>
    </row>
    <row r="161" spans="2:6" x14ac:dyDescent="0.25">
      <c r="B161" s="84">
        <v>158</v>
      </c>
      <c r="C161" s="92">
        <f t="shared" si="12"/>
        <v>1200</v>
      </c>
      <c r="D161" s="87">
        <f t="shared" si="13"/>
        <v>1061.166618069346</v>
      </c>
      <c r="E161" s="87">
        <f t="shared" si="11"/>
        <v>138.83338193065404</v>
      </c>
      <c r="F161" s="88">
        <f t="shared" si="14"/>
        <v>62152.975024479776</v>
      </c>
    </row>
    <row r="162" spans="2:6" x14ac:dyDescent="0.25">
      <c r="B162" s="84">
        <v>159</v>
      </c>
      <c r="C162" s="92">
        <f t="shared" si="12"/>
        <v>1200</v>
      </c>
      <c r="D162" s="87">
        <f t="shared" si="13"/>
        <v>1063.4971938954254</v>
      </c>
      <c r="E162" s="87">
        <f t="shared" si="11"/>
        <v>136.50280610457469</v>
      </c>
      <c r="F162" s="88">
        <f t="shared" si="14"/>
        <v>61089.47783058435</v>
      </c>
    </row>
    <row r="163" spans="2:6" x14ac:dyDescent="0.25">
      <c r="B163" s="84">
        <v>160</v>
      </c>
      <c r="C163" s="92">
        <f t="shared" si="12"/>
        <v>1200</v>
      </c>
      <c r="D163" s="87">
        <f t="shared" si="13"/>
        <v>1065.8328882237161</v>
      </c>
      <c r="E163" s="87">
        <f t="shared" si="11"/>
        <v>134.16711177628406</v>
      </c>
      <c r="F163" s="88">
        <f t="shared" si="14"/>
        <v>60023.644942360632</v>
      </c>
    </row>
    <row r="164" spans="2:6" x14ac:dyDescent="0.25">
      <c r="B164" s="84">
        <v>161</v>
      </c>
      <c r="C164" s="92">
        <f t="shared" si="12"/>
        <v>1200</v>
      </c>
      <c r="D164" s="87">
        <f t="shared" si="13"/>
        <v>1068.1737122956736</v>
      </c>
      <c r="E164" s="87">
        <f t="shared" si="11"/>
        <v>131.82628770432646</v>
      </c>
      <c r="F164" s="88">
        <f t="shared" si="14"/>
        <v>58955.471230064955</v>
      </c>
    </row>
    <row r="165" spans="2:6" x14ac:dyDescent="0.25">
      <c r="B165" s="84">
        <v>162</v>
      </c>
      <c r="C165" s="92">
        <f t="shared" si="12"/>
        <v>1200</v>
      </c>
      <c r="D165" s="87">
        <f t="shared" si="13"/>
        <v>1070.5196773774428</v>
      </c>
      <c r="E165" s="87">
        <f t="shared" si="11"/>
        <v>129.48032262255731</v>
      </c>
      <c r="F165" s="88">
        <f t="shared" si="14"/>
        <v>57884.951552687511</v>
      </c>
    </row>
    <row r="166" spans="2:6" x14ac:dyDescent="0.25">
      <c r="B166" s="84">
        <v>163</v>
      </c>
      <c r="C166" s="92">
        <f t="shared" si="12"/>
        <v>1200</v>
      </c>
      <c r="D166" s="87">
        <f t="shared" si="13"/>
        <v>1072.8707947599112</v>
      </c>
      <c r="E166" s="87">
        <f t="shared" si="11"/>
        <v>127.12920524008881</v>
      </c>
      <c r="F166" s="88">
        <f t="shared" si="14"/>
        <v>56812.080757927601</v>
      </c>
    </row>
    <row r="167" spans="2:6" x14ac:dyDescent="0.25">
      <c r="B167" s="84">
        <v>164</v>
      </c>
      <c r="C167" s="92">
        <f t="shared" si="12"/>
        <v>1200</v>
      </c>
      <c r="D167" s="87">
        <f t="shared" si="13"/>
        <v>1075.2270757587644</v>
      </c>
      <c r="E167" s="87">
        <f t="shared" si="11"/>
        <v>124.7729242412357</v>
      </c>
      <c r="F167" s="88">
        <f t="shared" si="14"/>
        <v>55736.853682168839</v>
      </c>
    </row>
    <row r="168" spans="2:6" x14ac:dyDescent="0.25">
      <c r="B168" s="84">
        <v>165</v>
      </c>
      <c r="C168" s="92">
        <f t="shared" si="12"/>
        <v>1200</v>
      </c>
      <c r="D168" s="87">
        <f t="shared" si="13"/>
        <v>1077.5885317145392</v>
      </c>
      <c r="E168" s="87">
        <f t="shared" si="11"/>
        <v>122.4114682854608</v>
      </c>
      <c r="F168" s="88">
        <f t="shared" si="14"/>
        <v>54659.265150454303</v>
      </c>
    </row>
    <row r="169" spans="2:6" x14ac:dyDescent="0.25">
      <c r="B169" s="84">
        <v>166</v>
      </c>
      <c r="C169" s="92">
        <f t="shared" si="12"/>
        <v>1200</v>
      </c>
      <c r="D169" s="87">
        <f t="shared" si="13"/>
        <v>1079.9551739926796</v>
      </c>
      <c r="E169" s="87">
        <f t="shared" si="11"/>
        <v>120.04482600732032</v>
      </c>
      <c r="F169" s="88">
        <f t="shared" si="14"/>
        <v>53579.30997646162</v>
      </c>
    </row>
    <row r="170" spans="2:6" x14ac:dyDescent="0.25">
      <c r="B170" s="84">
        <v>167</v>
      </c>
      <c r="C170" s="92">
        <f t="shared" si="12"/>
        <v>1200</v>
      </c>
      <c r="D170" s="87">
        <f t="shared" si="13"/>
        <v>1082.3270139835906</v>
      </c>
      <c r="E170" s="87">
        <f t="shared" si="11"/>
        <v>117.6729860164093</v>
      </c>
      <c r="F170" s="88">
        <f t="shared" si="14"/>
        <v>52496.982962478032</v>
      </c>
    </row>
    <row r="171" spans="2:6" x14ac:dyDescent="0.25">
      <c r="B171" s="84">
        <v>168</v>
      </c>
      <c r="C171" s="92">
        <f t="shared" si="12"/>
        <v>1200</v>
      </c>
      <c r="D171" s="87">
        <f t="shared" si="13"/>
        <v>1084.7040631026932</v>
      </c>
      <c r="E171" s="87">
        <f t="shared" si="11"/>
        <v>115.2959368973067</v>
      </c>
      <c r="F171" s="88">
        <f t="shared" si="14"/>
        <v>51412.278899375342</v>
      </c>
    </row>
    <row r="172" spans="2:6" x14ac:dyDescent="0.25">
      <c r="B172" s="85">
        <v>169</v>
      </c>
      <c r="C172" s="96">
        <f t="shared" si="12"/>
        <v>1200</v>
      </c>
      <c r="D172" s="97">
        <f t="shared" si="13"/>
        <v>1087.0863327904794</v>
      </c>
      <c r="E172" s="97">
        <f t="shared" si="11"/>
        <v>112.9136672095205</v>
      </c>
      <c r="F172" s="98">
        <f t="shared" si="14"/>
        <v>50325.192566584861</v>
      </c>
    </row>
    <row r="173" spans="2:6" x14ac:dyDescent="0.25">
      <c r="B173" s="84">
        <v>170</v>
      </c>
      <c r="C173" s="92">
        <f t="shared" si="12"/>
        <v>1200</v>
      </c>
      <c r="D173" s="87">
        <f t="shared" si="13"/>
        <v>1089.4738345125675</v>
      </c>
      <c r="E173" s="87">
        <f t="shared" si="11"/>
        <v>110.52616548743259</v>
      </c>
      <c r="F173" s="88">
        <f t="shared" si="14"/>
        <v>49235.718732072295</v>
      </c>
    </row>
    <row r="174" spans="2:6" x14ac:dyDescent="0.25">
      <c r="B174" s="84">
        <v>171</v>
      </c>
      <c r="C174" s="92">
        <f t="shared" si="12"/>
        <v>1200</v>
      </c>
      <c r="D174" s="87">
        <f t="shared" si="13"/>
        <v>1091.8665797597564</v>
      </c>
      <c r="E174" s="87">
        <f t="shared" si="11"/>
        <v>108.13342024024367</v>
      </c>
      <c r="F174" s="88">
        <f t="shared" si="14"/>
        <v>48143.852152312538</v>
      </c>
    </row>
    <row r="175" spans="2:6" x14ac:dyDescent="0.25">
      <c r="B175" s="84">
        <v>172</v>
      </c>
      <c r="C175" s="92">
        <f t="shared" si="12"/>
        <v>1200</v>
      </c>
      <c r="D175" s="87">
        <f t="shared" si="13"/>
        <v>1094.2645800480823</v>
      </c>
      <c r="E175" s="87">
        <f t="shared" si="11"/>
        <v>105.73541995191782</v>
      </c>
      <c r="F175" s="88">
        <f t="shared" si="14"/>
        <v>47049.587572264456</v>
      </c>
    </row>
    <row r="176" spans="2:6" x14ac:dyDescent="0.25">
      <c r="B176" s="84">
        <v>173</v>
      </c>
      <c r="C176" s="92">
        <f t="shared" si="12"/>
        <v>1200</v>
      </c>
      <c r="D176" s="87">
        <f t="shared" si="13"/>
        <v>1096.6678469188728</v>
      </c>
      <c r="E176" s="87">
        <f t="shared" si="11"/>
        <v>103.33215308112723</v>
      </c>
      <c r="F176" s="88">
        <f t="shared" si="14"/>
        <v>45952.919725345586</v>
      </c>
    </row>
    <row r="177" spans="2:6" x14ac:dyDescent="0.25">
      <c r="B177" s="84">
        <v>174</v>
      </c>
      <c r="C177" s="92">
        <f t="shared" si="12"/>
        <v>1200</v>
      </c>
      <c r="D177" s="87">
        <f t="shared" si="13"/>
        <v>1099.0763919388035</v>
      </c>
      <c r="E177" s="87">
        <f t="shared" si="11"/>
        <v>100.92360806119653</v>
      </c>
      <c r="F177" s="88">
        <f t="shared" si="14"/>
        <v>44853.843333406781</v>
      </c>
    </row>
    <row r="178" spans="2:6" x14ac:dyDescent="0.25">
      <c r="B178" s="84">
        <v>175</v>
      </c>
      <c r="C178" s="92">
        <f t="shared" si="12"/>
        <v>1200</v>
      </c>
      <c r="D178" s="87">
        <f t="shared" si="13"/>
        <v>1101.4902266999529</v>
      </c>
      <c r="E178" s="87">
        <f t="shared" si="11"/>
        <v>98.509773300047158</v>
      </c>
      <c r="F178" s="88">
        <f t="shared" si="14"/>
        <v>43752.353106706825</v>
      </c>
    </row>
    <row r="179" spans="2:6" x14ac:dyDescent="0.25">
      <c r="B179" s="84">
        <v>176</v>
      </c>
      <c r="C179" s="92">
        <f t="shared" si="12"/>
        <v>1200</v>
      </c>
      <c r="D179" s="87">
        <f t="shared" si="13"/>
        <v>1103.9093628198584</v>
      </c>
      <c r="E179" s="87">
        <f t="shared" si="11"/>
        <v>96.090637180141584</v>
      </c>
      <c r="F179" s="88">
        <f t="shared" si="14"/>
        <v>42648.443743886965</v>
      </c>
    </row>
    <row r="180" spans="2:6" x14ac:dyDescent="0.25">
      <c r="B180" s="84">
        <v>177</v>
      </c>
      <c r="C180" s="92">
        <f t="shared" si="12"/>
        <v>1200</v>
      </c>
      <c r="D180" s="87">
        <f t="shared" si="13"/>
        <v>1106.3338119415725</v>
      </c>
      <c r="E180" s="87">
        <f t="shared" si="11"/>
        <v>93.666188058427394</v>
      </c>
      <c r="F180" s="88">
        <f t="shared" si="14"/>
        <v>41542.109931945393</v>
      </c>
    </row>
    <row r="181" spans="2:6" x14ac:dyDescent="0.25">
      <c r="B181" s="84">
        <v>178</v>
      </c>
      <c r="C181" s="92">
        <f t="shared" si="12"/>
        <v>1200</v>
      </c>
      <c r="D181" s="87">
        <f t="shared" si="13"/>
        <v>1108.7635857337189</v>
      </c>
      <c r="E181" s="87">
        <f t="shared" si="11"/>
        <v>91.236414266281244</v>
      </c>
      <c r="F181" s="88">
        <f t="shared" si="14"/>
        <v>40433.346346211678</v>
      </c>
    </row>
    <row r="182" spans="2:6" x14ac:dyDescent="0.25">
      <c r="B182" s="84">
        <v>179</v>
      </c>
      <c r="C182" s="92">
        <f t="shared" si="12"/>
        <v>1200</v>
      </c>
      <c r="D182" s="87">
        <f t="shared" si="13"/>
        <v>1111.1986958905472</v>
      </c>
      <c r="E182" s="87">
        <f t="shared" si="11"/>
        <v>88.801304109452687</v>
      </c>
      <c r="F182" s="88">
        <f t="shared" si="14"/>
        <v>39322.147650321131</v>
      </c>
    </row>
    <row r="183" spans="2:6" x14ac:dyDescent="0.25">
      <c r="B183" s="86">
        <v>180</v>
      </c>
      <c r="C183" s="89">
        <f t="shared" si="12"/>
        <v>1200</v>
      </c>
      <c r="D183" s="90">
        <f t="shared" si="13"/>
        <v>1113.6391541319922</v>
      </c>
      <c r="E183" s="90">
        <f t="shared" si="11"/>
        <v>86.3608458680079</v>
      </c>
      <c r="F183" s="91">
        <f t="shared" si="14"/>
        <v>38208.508496189141</v>
      </c>
    </row>
    <row r="184" spans="2:6" x14ac:dyDescent="0.25">
      <c r="B184" s="84">
        <v>181</v>
      </c>
      <c r="C184" s="92">
        <f t="shared" si="12"/>
        <v>1200</v>
      </c>
      <c r="D184" s="87">
        <f t="shared" si="13"/>
        <v>1116.0849722037267</v>
      </c>
      <c r="E184" s="87">
        <f t="shared" si="11"/>
        <v>83.915027796273307</v>
      </c>
      <c r="F184" s="88">
        <f t="shared" si="14"/>
        <v>37092.423523985417</v>
      </c>
    </row>
    <row r="185" spans="2:6" x14ac:dyDescent="0.25">
      <c r="B185" s="84">
        <v>182</v>
      </c>
      <c r="C185" s="92">
        <f t="shared" si="12"/>
        <v>1200</v>
      </c>
      <c r="D185" s="87">
        <f t="shared" si="13"/>
        <v>1118.536161877221</v>
      </c>
      <c r="E185" s="87">
        <f t="shared" si="11"/>
        <v>81.463838122778995</v>
      </c>
      <c r="F185" s="88">
        <f t="shared" si="14"/>
        <v>35973.887362108195</v>
      </c>
    </row>
    <row r="186" spans="2:6" x14ac:dyDescent="0.25">
      <c r="B186" s="84">
        <v>183</v>
      </c>
      <c r="C186" s="92">
        <f t="shared" si="12"/>
        <v>1200</v>
      </c>
      <c r="D186" s="87">
        <f t="shared" si="13"/>
        <v>1120.992734949798</v>
      </c>
      <c r="E186" s="87">
        <f t="shared" si="11"/>
        <v>79.007265050202093</v>
      </c>
      <c r="F186" s="88">
        <f t="shared" si="14"/>
        <v>34852.894627158399</v>
      </c>
    </row>
    <row r="187" spans="2:6" x14ac:dyDescent="0.25">
      <c r="B187" s="84">
        <v>184</v>
      </c>
      <c r="C187" s="92">
        <f t="shared" si="12"/>
        <v>1200</v>
      </c>
      <c r="D187" s="87">
        <f t="shared" si="13"/>
        <v>1123.4547032446899</v>
      </c>
      <c r="E187" s="87">
        <f t="shared" si="11"/>
        <v>76.545296755310005</v>
      </c>
      <c r="F187" s="88">
        <f t="shared" si="14"/>
        <v>33729.439923913713</v>
      </c>
    </row>
    <row r="188" spans="2:6" x14ac:dyDescent="0.25">
      <c r="B188" s="84">
        <v>185</v>
      </c>
      <c r="C188" s="92">
        <f t="shared" si="12"/>
        <v>1200</v>
      </c>
      <c r="D188" s="87">
        <f t="shared" si="13"/>
        <v>1125.9220786110966</v>
      </c>
      <c r="E188" s="87">
        <f t="shared" si="11"/>
        <v>74.077921388903476</v>
      </c>
      <c r="F188" s="88">
        <f t="shared" si="14"/>
        <v>32603.517845302616</v>
      </c>
    </row>
    <row r="189" spans="2:6" x14ac:dyDescent="0.25">
      <c r="B189" s="84">
        <v>186</v>
      </c>
      <c r="C189" s="92">
        <f t="shared" si="12"/>
        <v>1200</v>
      </c>
      <c r="D189" s="87">
        <f t="shared" si="13"/>
        <v>1128.3948729242404</v>
      </c>
      <c r="E189" s="87">
        <f t="shared" si="11"/>
        <v>71.605127075759555</v>
      </c>
      <c r="F189" s="88">
        <f t="shared" si="14"/>
        <v>31475.122972378376</v>
      </c>
    </row>
    <row r="190" spans="2:6" x14ac:dyDescent="0.25">
      <c r="B190" s="84">
        <v>187</v>
      </c>
      <c r="C190" s="92">
        <f t="shared" si="12"/>
        <v>1200</v>
      </c>
      <c r="D190" s="87">
        <f t="shared" si="13"/>
        <v>1130.8730980854255</v>
      </c>
      <c r="E190" s="87">
        <f t="shared" si="11"/>
        <v>69.126901914574461</v>
      </c>
      <c r="F190" s="88">
        <f t="shared" si="14"/>
        <v>30344.249874292949</v>
      </c>
    </row>
    <row r="191" spans="2:6" x14ac:dyDescent="0.25">
      <c r="B191" s="84">
        <v>188</v>
      </c>
      <c r="C191" s="92">
        <f t="shared" si="12"/>
        <v>1200</v>
      </c>
      <c r="D191" s="87">
        <f t="shared" si="13"/>
        <v>1133.3567660220936</v>
      </c>
      <c r="E191" s="87">
        <f t="shared" si="11"/>
        <v>66.643233977906348</v>
      </c>
      <c r="F191" s="88">
        <f t="shared" si="14"/>
        <v>29210.893108270855</v>
      </c>
    </row>
    <row r="192" spans="2:6" x14ac:dyDescent="0.25">
      <c r="B192" s="84">
        <v>189</v>
      </c>
      <c r="C192" s="92">
        <f t="shared" si="12"/>
        <v>1200</v>
      </c>
      <c r="D192" s="87">
        <f t="shared" si="13"/>
        <v>1135.8458886878823</v>
      </c>
      <c r="E192" s="87">
        <f t="shared" si="11"/>
        <v>64.154111312117806</v>
      </c>
      <c r="F192" s="88">
        <f t="shared" si="14"/>
        <v>28075.047219582972</v>
      </c>
    </row>
    <row r="193" spans="2:6" x14ac:dyDescent="0.25">
      <c r="B193" s="84">
        <v>190</v>
      </c>
      <c r="C193" s="92">
        <f t="shared" si="12"/>
        <v>1200</v>
      </c>
      <c r="D193" s="87">
        <f t="shared" si="13"/>
        <v>1138.3404780626815</v>
      </c>
      <c r="E193" s="87">
        <f t="shared" si="11"/>
        <v>61.659521937318395</v>
      </c>
      <c r="F193" s="88">
        <f t="shared" si="14"/>
        <v>26936.706741520291</v>
      </c>
    </row>
    <row r="194" spans="2:6" x14ac:dyDescent="0.25">
      <c r="B194" s="84">
        <v>191</v>
      </c>
      <c r="C194" s="92">
        <f t="shared" si="12"/>
        <v>1200</v>
      </c>
      <c r="D194" s="87">
        <f t="shared" si="13"/>
        <v>1140.8405461526929</v>
      </c>
      <c r="E194" s="87">
        <f t="shared" si="11"/>
        <v>59.15945384730697</v>
      </c>
      <c r="F194" s="88">
        <f t="shared" si="14"/>
        <v>25795.866195367598</v>
      </c>
    </row>
    <row r="195" spans="2:6" x14ac:dyDescent="0.25">
      <c r="B195" s="84">
        <v>192</v>
      </c>
      <c r="C195" s="92">
        <f t="shared" si="12"/>
        <v>1200</v>
      </c>
      <c r="D195" s="87">
        <f t="shared" si="13"/>
        <v>1143.3461049904861</v>
      </c>
      <c r="E195" s="87">
        <f t="shared" si="11"/>
        <v>56.653895009513889</v>
      </c>
      <c r="F195" s="88">
        <f t="shared" si="14"/>
        <v>24652.520090377111</v>
      </c>
    </row>
    <row r="196" spans="2:6" x14ac:dyDescent="0.25">
      <c r="B196" s="85">
        <v>193</v>
      </c>
      <c r="C196" s="96">
        <f t="shared" si="12"/>
        <v>1200</v>
      </c>
      <c r="D196" s="97">
        <f t="shared" si="13"/>
        <v>1145.857166635057</v>
      </c>
      <c r="E196" s="97">
        <f t="shared" si="11"/>
        <v>54.142833364943101</v>
      </c>
      <c r="F196" s="98">
        <f t="shared" si="14"/>
        <v>23506.662923742053</v>
      </c>
    </row>
    <row r="197" spans="2:6" x14ac:dyDescent="0.25">
      <c r="B197" s="84">
        <v>194</v>
      </c>
      <c r="C197" s="92">
        <f t="shared" si="12"/>
        <v>1200</v>
      </c>
      <c r="D197" s="87">
        <f t="shared" si="13"/>
        <v>1148.373743171886</v>
      </c>
      <c r="E197" s="87">
        <f t="shared" si="11"/>
        <v>51.62625682811413</v>
      </c>
      <c r="F197" s="88">
        <f t="shared" si="14"/>
        <v>22358.289180570166</v>
      </c>
    </row>
    <row r="198" spans="2:6" x14ac:dyDescent="0.25">
      <c r="B198" s="84">
        <v>195</v>
      </c>
      <c r="C198" s="92">
        <f t="shared" si="12"/>
        <v>1200</v>
      </c>
      <c r="D198" s="87">
        <f t="shared" si="13"/>
        <v>1150.8958467129962</v>
      </c>
      <c r="E198" s="87">
        <f t="shared" si="11"/>
        <v>49.104153287003889</v>
      </c>
      <c r="F198" s="88">
        <f t="shared" si="14"/>
        <v>21207.39333385717</v>
      </c>
    </row>
    <row r="199" spans="2:6" x14ac:dyDescent="0.25">
      <c r="B199" s="84">
        <v>196</v>
      </c>
      <c r="C199" s="92">
        <f t="shared" si="12"/>
        <v>1200</v>
      </c>
      <c r="D199" s="87">
        <f t="shared" si="13"/>
        <v>1153.4234893970115</v>
      </c>
      <c r="E199" s="87">
        <f t="shared" ref="E199:E262" si="15">$I$5*F198</f>
        <v>46.576510602988392</v>
      </c>
      <c r="F199" s="88">
        <f t="shared" si="14"/>
        <v>20053.96984446016</v>
      </c>
    </row>
    <row r="200" spans="2:6" x14ac:dyDescent="0.25">
      <c r="B200" s="84">
        <v>197</v>
      </c>
      <c r="C200" s="92">
        <f t="shared" si="12"/>
        <v>1200</v>
      </c>
      <c r="D200" s="87">
        <f t="shared" si="13"/>
        <v>1155.9566833892156</v>
      </c>
      <c r="E200" s="87">
        <f t="shared" si="15"/>
        <v>44.043316610784316</v>
      </c>
      <c r="F200" s="88">
        <f t="shared" si="14"/>
        <v>18898.013161070943</v>
      </c>
    </row>
    <row r="201" spans="2:6" x14ac:dyDescent="0.25">
      <c r="B201" s="84">
        <v>198</v>
      </c>
      <c r="C201" s="92">
        <f t="shared" si="12"/>
        <v>1200</v>
      </c>
      <c r="D201" s="87">
        <f t="shared" si="13"/>
        <v>1158.4954408816095</v>
      </c>
      <c r="E201" s="87">
        <f t="shared" si="15"/>
        <v>41.504559118390475</v>
      </c>
      <c r="F201" s="88">
        <f t="shared" si="14"/>
        <v>17739.517720189335</v>
      </c>
    </row>
    <row r="202" spans="2:6" x14ac:dyDescent="0.25">
      <c r="B202" s="84">
        <v>199</v>
      </c>
      <c r="C202" s="92">
        <f t="shared" si="12"/>
        <v>1200</v>
      </c>
      <c r="D202" s="87">
        <f t="shared" si="13"/>
        <v>1161.0397740929709</v>
      </c>
      <c r="E202" s="87">
        <f t="shared" si="15"/>
        <v>38.960225907029134</v>
      </c>
      <c r="F202" s="88">
        <f t="shared" si="14"/>
        <v>16578.477946096365</v>
      </c>
    </row>
    <row r="203" spans="2:6" x14ac:dyDescent="0.25">
      <c r="B203" s="84">
        <v>200</v>
      </c>
      <c r="C203" s="92">
        <f t="shared" si="12"/>
        <v>1200</v>
      </c>
      <c r="D203" s="87">
        <f t="shared" si="13"/>
        <v>1163.5896952689129</v>
      </c>
      <c r="E203" s="87">
        <f t="shared" si="15"/>
        <v>36.410304731087187</v>
      </c>
      <c r="F203" s="88">
        <f t="shared" si="14"/>
        <v>15414.888250827453</v>
      </c>
    </row>
    <row r="204" spans="2:6" x14ac:dyDescent="0.25">
      <c r="B204" s="84">
        <v>201</v>
      </c>
      <c r="C204" s="92">
        <f t="shared" si="12"/>
        <v>1200</v>
      </c>
      <c r="D204" s="87">
        <f t="shared" si="13"/>
        <v>1166.1452166819427</v>
      </c>
      <c r="E204" s="87">
        <f t="shared" si="15"/>
        <v>33.854783318057244</v>
      </c>
      <c r="F204" s="88">
        <f t="shared" si="14"/>
        <v>14248.743034145511</v>
      </c>
    </row>
    <row r="205" spans="2:6" x14ac:dyDescent="0.25">
      <c r="B205" s="84">
        <v>202</v>
      </c>
      <c r="C205" s="92">
        <f t="shared" si="12"/>
        <v>1200</v>
      </c>
      <c r="D205" s="87">
        <f t="shared" si="13"/>
        <v>1168.7063506315214</v>
      </c>
      <c r="E205" s="87">
        <f t="shared" si="15"/>
        <v>31.29364936847854</v>
      </c>
      <c r="F205" s="88">
        <f t="shared" si="14"/>
        <v>13080.03668351399</v>
      </c>
    </row>
    <row r="206" spans="2:6" x14ac:dyDescent="0.25">
      <c r="B206" s="84">
        <v>203</v>
      </c>
      <c r="C206" s="92">
        <f t="shared" si="12"/>
        <v>1200</v>
      </c>
      <c r="D206" s="87">
        <f t="shared" si="13"/>
        <v>1171.2731094441222</v>
      </c>
      <c r="E206" s="87">
        <f t="shared" si="15"/>
        <v>28.726890555877759</v>
      </c>
      <c r="F206" s="88">
        <f t="shared" si="14"/>
        <v>11908.763574069868</v>
      </c>
    </row>
    <row r="207" spans="2:6" x14ac:dyDescent="0.25">
      <c r="B207" s="86">
        <v>204</v>
      </c>
      <c r="C207" s="89">
        <f t="shared" si="12"/>
        <v>1200</v>
      </c>
      <c r="D207" s="90">
        <f t="shared" si="13"/>
        <v>1173.8455054732904</v>
      </c>
      <c r="E207" s="90">
        <f t="shared" si="15"/>
        <v>26.154494526709701</v>
      </c>
      <c r="F207" s="91">
        <f t="shared" si="14"/>
        <v>10734.918068596577</v>
      </c>
    </row>
    <row r="208" spans="2:6" x14ac:dyDescent="0.25">
      <c r="B208" s="84">
        <v>205</v>
      </c>
      <c r="C208" s="92">
        <f t="shared" ref="C208:C271" si="16">MIN(F207+E208,$I$3)</f>
        <v>1200</v>
      </c>
      <c r="D208" s="87">
        <f t="shared" ref="D208:D271" si="17">MIN(C208-E208,F207)</f>
        <v>1176.4235510997021</v>
      </c>
      <c r="E208" s="87">
        <f t="shared" si="15"/>
        <v>23.576448900297816</v>
      </c>
      <c r="F208" s="88">
        <f t="shared" ref="F208:F271" si="18">SUM(F207-D208)</f>
        <v>9558.4945174968743</v>
      </c>
    </row>
    <row r="209" spans="2:6" x14ac:dyDescent="0.25">
      <c r="B209" s="84">
        <v>206</v>
      </c>
      <c r="C209" s="92">
        <f t="shared" si="16"/>
        <v>1200</v>
      </c>
      <c r="D209" s="87">
        <f t="shared" si="17"/>
        <v>1179.0072587312254</v>
      </c>
      <c r="E209" s="87">
        <f t="shared" si="15"/>
        <v>20.99274126877464</v>
      </c>
      <c r="F209" s="88">
        <f t="shared" si="18"/>
        <v>8379.4872587656482</v>
      </c>
    </row>
    <row r="210" spans="2:6" x14ac:dyDescent="0.25">
      <c r="B210" s="84">
        <v>207</v>
      </c>
      <c r="C210" s="92">
        <f t="shared" si="16"/>
        <v>1200</v>
      </c>
      <c r="D210" s="87">
        <f t="shared" si="17"/>
        <v>1181.5966408029778</v>
      </c>
      <c r="E210" s="87">
        <f t="shared" si="15"/>
        <v>18.403359197022045</v>
      </c>
      <c r="F210" s="88">
        <f t="shared" si="18"/>
        <v>7197.8906179626701</v>
      </c>
    </row>
    <row r="211" spans="2:6" x14ac:dyDescent="0.25">
      <c r="B211" s="84">
        <v>208</v>
      </c>
      <c r="C211" s="92">
        <f t="shared" si="16"/>
        <v>1200</v>
      </c>
      <c r="D211" s="87">
        <f t="shared" si="17"/>
        <v>1184.1917097773885</v>
      </c>
      <c r="E211" s="87">
        <f t="shared" si="15"/>
        <v>15.808290222611424</v>
      </c>
      <c r="F211" s="88">
        <f t="shared" si="18"/>
        <v>6013.6989081852817</v>
      </c>
    </row>
    <row r="212" spans="2:6" x14ac:dyDescent="0.25">
      <c r="B212" s="84">
        <v>209</v>
      </c>
      <c r="C212" s="92">
        <f t="shared" si="16"/>
        <v>1200</v>
      </c>
      <c r="D212" s="87">
        <f t="shared" si="17"/>
        <v>1186.7924781442564</v>
      </c>
      <c r="E212" s="87">
        <f t="shared" si="15"/>
        <v>13.207521855743684</v>
      </c>
      <c r="F212" s="88">
        <f t="shared" si="18"/>
        <v>4826.9064300410255</v>
      </c>
    </row>
    <row r="213" spans="2:6" x14ac:dyDescent="0.25">
      <c r="B213" s="84">
        <v>210</v>
      </c>
      <c r="C213" s="92">
        <f t="shared" si="16"/>
        <v>1200</v>
      </c>
      <c r="D213" s="87">
        <f t="shared" si="17"/>
        <v>1189.3989584208109</v>
      </c>
      <c r="E213" s="87">
        <f t="shared" si="15"/>
        <v>10.60104157918915</v>
      </c>
      <c r="F213" s="88">
        <f t="shared" si="18"/>
        <v>3637.5074716202143</v>
      </c>
    </row>
    <row r="214" spans="2:6" x14ac:dyDescent="0.25">
      <c r="B214" s="84">
        <v>211</v>
      </c>
      <c r="C214" s="92">
        <f t="shared" si="16"/>
        <v>1200</v>
      </c>
      <c r="D214" s="87">
        <f t="shared" si="17"/>
        <v>1192.0111631517727</v>
      </c>
      <c r="E214" s="87">
        <f t="shared" si="15"/>
        <v>7.9888368482273115</v>
      </c>
      <c r="F214" s="88">
        <f t="shared" si="18"/>
        <v>2445.4963084684414</v>
      </c>
    </row>
    <row r="215" spans="2:6" x14ac:dyDescent="0.25">
      <c r="B215" s="84">
        <v>212</v>
      </c>
      <c r="C215" s="92">
        <f t="shared" si="16"/>
        <v>1200</v>
      </c>
      <c r="D215" s="87">
        <f t="shared" si="17"/>
        <v>1194.6291049094136</v>
      </c>
      <c r="E215" s="87">
        <f t="shared" si="15"/>
        <v>5.370895090586453</v>
      </c>
      <c r="F215" s="88">
        <f t="shared" si="18"/>
        <v>1250.8672035590278</v>
      </c>
    </row>
    <row r="216" spans="2:6" x14ac:dyDescent="0.25">
      <c r="B216" s="84">
        <v>213</v>
      </c>
      <c r="C216" s="92">
        <f t="shared" si="16"/>
        <v>1200</v>
      </c>
      <c r="D216" s="87">
        <f t="shared" si="17"/>
        <v>1197.2527962936169</v>
      </c>
      <c r="E216" s="87">
        <f t="shared" si="15"/>
        <v>2.7472037063831394</v>
      </c>
      <c r="F216" s="88">
        <f t="shared" si="18"/>
        <v>53.614407265410819</v>
      </c>
    </row>
    <row r="217" spans="2:6" x14ac:dyDescent="0.25">
      <c r="B217" s="84">
        <v>214</v>
      </c>
      <c r="C217" s="92">
        <f t="shared" si="16"/>
        <v>53.732157333472394</v>
      </c>
      <c r="D217" s="87">
        <f t="shared" si="17"/>
        <v>53.614407265410819</v>
      </c>
      <c r="E217" s="87">
        <f t="shared" si="15"/>
        <v>0.11775006806157835</v>
      </c>
      <c r="F217" s="88">
        <f t="shared" si="18"/>
        <v>0</v>
      </c>
    </row>
    <row r="218" spans="2:6" x14ac:dyDescent="0.25">
      <c r="B218" s="84">
        <v>215</v>
      </c>
      <c r="C218" s="92">
        <f t="shared" si="16"/>
        <v>0</v>
      </c>
      <c r="D218" s="87">
        <f t="shared" si="17"/>
        <v>0</v>
      </c>
      <c r="E218" s="87">
        <f t="shared" si="15"/>
        <v>0</v>
      </c>
      <c r="F218" s="88">
        <f t="shared" si="18"/>
        <v>0</v>
      </c>
    </row>
    <row r="219" spans="2:6" x14ac:dyDescent="0.25">
      <c r="B219" s="84">
        <v>216</v>
      </c>
      <c r="C219" s="92">
        <f t="shared" si="16"/>
        <v>0</v>
      </c>
      <c r="D219" s="87">
        <f t="shared" si="17"/>
        <v>0</v>
      </c>
      <c r="E219" s="87">
        <f t="shared" si="15"/>
        <v>0</v>
      </c>
      <c r="F219" s="88">
        <f t="shared" si="18"/>
        <v>0</v>
      </c>
    </row>
    <row r="220" spans="2:6" x14ac:dyDescent="0.25">
      <c r="B220" s="85">
        <v>217</v>
      </c>
      <c r="C220" s="96">
        <f t="shared" si="16"/>
        <v>0</v>
      </c>
      <c r="D220" s="97">
        <f t="shared" si="17"/>
        <v>0</v>
      </c>
      <c r="E220" s="97">
        <f t="shared" si="15"/>
        <v>0</v>
      </c>
      <c r="F220" s="98">
        <f t="shared" si="18"/>
        <v>0</v>
      </c>
    </row>
    <row r="221" spans="2:6" x14ac:dyDescent="0.25">
      <c r="B221" s="84">
        <v>218</v>
      </c>
      <c r="C221" s="92">
        <f t="shared" si="16"/>
        <v>0</v>
      </c>
      <c r="D221" s="87">
        <f t="shared" si="17"/>
        <v>0</v>
      </c>
      <c r="E221" s="87">
        <f t="shared" si="15"/>
        <v>0</v>
      </c>
      <c r="F221" s="88">
        <f t="shared" si="18"/>
        <v>0</v>
      </c>
    </row>
    <row r="222" spans="2:6" x14ac:dyDescent="0.25">
      <c r="B222" s="84">
        <v>219</v>
      </c>
      <c r="C222" s="92">
        <f t="shared" si="16"/>
        <v>0</v>
      </c>
      <c r="D222" s="87">
        <f t="shared" si="17"/>
        <v>0</v>
      </c>
      <c r="E222" s="87">
        <f t="shared" si="15"/>
        <v>0</v>
      </c>
      <c r="F222" s="88">
        <f t="shared" si="18"/>
        <v>0</v>
      </c>
    </row>
    <row r="223" spans="2:6" x14ac:dyDescent="0.25">
      <c r="B223" s="84">
        <v>220</v>
      </c>
      <c r="C223" s="92">
        <f t="shared" si="16"/>
        <v>0</v>
      </c>
      <c r="D223" s="87">
        <f t="shared" si="17"/>
        <v>0</v>
      </c>
      <c r="E223" s="87">
        <f t="shared" si="15"/>
        <v>0</v>
      </c>
      <c r="F223" s="88">
        <f t="shared" si="18"/>
        <v>0</v>
      </c>
    </row>
    <row r="224" spans="2:6" x14ac:dyDescent="0.25">
      <c r="B224" s="84">
        <v>221</v>
      </c>
      <c r="C224" s="92">
        <f t="shared" si="16"/>
        <v>0</v>
      </c>
      <c r="D224" s="87">
        <f t="shared" si="17"/>
        <v>0</v>
      </c>
      <c r="E224" s="87">
        <f t="shared" si="15"/>
        <v>0</v>
      </c>
      <c r="F224" s="88">
        <f t="shared" si="18"/>
        <v>0</v>
      </c>
    </row>
    <row r="225" spans="2:6" x14ac:dyDescent="0.25">
      <c r="B225" s="84">
        <v>222</v>
      </c>
      <c r="C225" s="92">
        <f t="shared" si="16"/>
        <v>0</v>
      </c>
      <c r="D225" s="87">
        <f t="shared" si="17"/>
        <v>0</v>
      </c>
      <c r="E225" s="87">
        <f t="shared" si="15"/>
        <v>0</v>
      </c>
      <c r="F225" s="88">
        <f t="shared" si="18"/>
        <v>0</v>
      </c>
    </row>
    <row r="226" spans="2:6" x14ac:dyDescent="0.25">
      <c r="B226" s="84">
        <v>223</v>
      </c>
      <c r="C226" s="92">
        <f t="shared" si="16"/>
        <v>0</v>
      </c>
      <c r="D226" s="87">
        <f t="shared" si="17"/>
        <v>0</v>
      </c>
      <c r="E226" s="87">
        <f t="shared" si="15"/>
        <v>0</v>
      </c>
      <c r="F226" s="88">
        <f t="shared" si="18"/>
        <v>0</v>
      </c>
    </row>
    <row r="227" spans="2:6" x14ac:dyDescent="0.25">
      <c r="B227" s="84">
        <v>224</v>
      </c>
      <c r="C227" s="92">
        <f t="shared" si="16"/>
        <v>0</v>
      </c>
      <c r="D227" s="87">
        <f t="shared" si="17"/>
        <v>0</v>
      </c>
      <c r="E227" s="87">
        <f t="shared" si="15"/>
        <v>0</v>
      </c>
      <c r="F227" s="88">
        <f t="shared" si="18"/>
        <v>0</v>
      </c>
    </row>
    <row r="228" spans="2:6" x14ac:dyDescent="0.25">
      <c r="B228" s="84">
        <v>225</v>
      </c>
      <c r="C228" s="92">
        <f t="shared" si="16"/>
        <v>0</v>
      </c>
      <c r="D228" s="87">
        <f t="shared" si="17"/>
        <v>0</v>
      </c>
      <c r="E228" s="87">
        <f t="shared" si="15"/>
        <v>0</v>
      </c>
      <c r="F228" s="88">
        <f t="shared" si="18"/>
        <v>0</v>
      </c>
    </row>
    <row r="229" spans="2:6" x14ac:dyDescent="0.25">
      <c r="B229" s="84">
        <v>226</v>
      </c>
      <c r="C229" s="92">
        <f t="shared" si="16"/>
        <v>0</v>
      </c>
      <c r="D229" s="87">
        <f t="shared" si="17"/>
        <v>0</v>
      </c>
      <c r="E229" s="87">
        <f t="shared" si="15"/>
        <v>0</v>
      </c>
      <c r="F229" s="88">
        <f t="shared" si="18"/>
        <v>0</v>
      </c>
    </row>
    <row r="230" spans="2:6" x14ac:dyDescent="0.25">
      <c r="B230" s="84">
        <v>227</v>
      </c>
      <c r="C230" s="92">
        <f t="shared" si="16"/>
        <v>0</v>
      </c>
      <c r="D230" s="87">
        <f t="shared" si="17"/>
        <v>0</v>
      </c>
      <c r="E230" s="87">
        <f t="shared" si="15"/>
        <v>0</v>
      </c>
      <c r="F230" s="88">
        <f t="shared" si="18"/>
        <v>0</v>
      </c>
    </row>
    <row r="231" spans="2:6" x14ac:dyDescent="0.25">
      <c r="B231" s="86">
        <v>228</v>
      </c>
      <c r="C231" s="89">
        <f t="shared" si="16"/>
        <v>0</v>
      </c>
      <c r="D231" s="90">
        <f t="shared" si="17"/>
        <v>0</v>
      </c>
      <c r="E231" s="90">
        <f t="shared" si="15"/>
        <v>0</v>
      </c>
      <c r="F231" s="91">
        <f t="shared" si="18"/>
        <v>0</v>
      </c>
    </row>
    <row r="232" spans="2:6" x14ac:dyDescent="0.25">
      <c r="B232" s="84">
        <v>229</v>
      </c>
      <c r="C232" s="92">
        <f t="shared" si="16"/>
        <v>0</v>
      </c>
      <c r="D232" s="87">
        <f t="shared" si="17"/>
        <v>0</v>
      </c>
      <c r="E232" s="87">
        <f t="shared" si="15"/>
        <v>0</v>
      </c>
      <c r="F232" s="88">
        <f t="shared" si="18"/>
        <v>0</v>
      </c>
    </row>
    <row r="233" spans="2:6" x14ac:dyDescent="0.25">
      <c r="B233" s="84">
        <v>230</v>
      </c>
      <c r="C233" s="92">
        <f t="shared" si="16"/>
        <v>0</v>
      </c>
      <c r="D233" s="87">
        <f t="shared" si="17"/>
        <v>0</v>
      </c>
      <c r="E233" s="87">
        <f t="shared" si="15"/>
        <v>0</v>
      </c>
      <c r="F233" s="88">
        <f t="shared" si="18"/>
        <v>0</v>
      </c>
    </row>
    <row r="234" spans="2:6" x14ac:dyDescent="0.25">
      <c r="B234" s="84">
        <v>231</v>
      </c>
      <c r="C234" s="92">
        <f t="shared" si="16"/>
        <v>0</v>
      </c>
      <c r="D234" s="87">
        <f t="shared" si="17"/>
        <v>0</v>
      </c>
      <c r="E234" s="87">
        <f t="shared" si="15"/>
        <v>0</v>
      </c>
      <c r="F234" s="88">
        <f t="shared" si="18"/>
        <v>0</v>
      </c>
    </row>
    <row r="235" spans="2:6" x14ac:dyDescent="0.25">
      <c r="B235" s="84">
        <v>232</v>
      </c>
      <c r="C235" s="92">
        <f t="shared" si="16"/>
        <v>0</v>
      </c>
      <c r="D235" s="87">
        <f t="shared" si="17"/>
        <v>0</v>
      </c>
      <c r="E235" s="87">
        <f t="shared" si="15"/>
        <v>0</v>
      </c>
      <c r="F235" s="88">
        <f t="shared" si="18"/>
        <v>0</v>
      </c>
    </row>
    <row r="236" spans="2:6" x14ac:dyDescent="0.25">
      <c r="B236" s="84">
        <v>233</v>
      </c>
      <c r="C236" s="92">
        <f t="shared" si="16"/>
        <v>0</v>
      </c>
      <c r="D236" s="87">
        <f t="shared" si="17"/>
        <v>0</v>
      </c>
      <c r="E236" s="87">
        <f t="shared" si="15"/>
        <v>0</v>
      </c>
      <c r="F236" s="88">
        <f t="shared" si="18"/>
        <v>0</v>
      </c>
    </row>
    <row r="237" spans="2:6" x14ac:dyDescent="0.25">
      <c r="B237" s="84">
        <v>234</v>
      </c>
      <c r="C237" s="92">
        <f t="shared" si="16"/>
        <v>0</v>
      </c>
      <c r="D237" s="87">
        <f t="shared" si="17"/>
        <v>0</v>
      </c>
      <c r="E237" s="87">
        <f t="shared" si="15"/>
        <v>0</v>
      </c>
      <c r="F237" s="88">
        <f t="shared" si="18"/>
        <v>0</v>
      </c>
    </row>
    <row r="238" spans="2:6" x14ac:dyDescent="0.25">
      <c r="B238" s="84">
        <v>235</v>
      </c>
      <c r="C238" s="92">
        <f t="shared" si="16"/>
        <v>0</v>
      </c>
      <c r="D238" s="87">
        <f t="shared" si="17"/>
        <v>0</v>
      </c>
      <c r="E238" s="87">
        <f t="shared" si="15"/>
        <v>0</v>
      </c>
      <c r="F238" s="88">
        <f t="shared" si="18"/>
        <v>0</v>
      </c>
    </row>
    <row r="239" spans="2:6" x14ac:dyDescent="0.25">
      <c r="B239" s="84">
        <v>236</v>
      </c>
      <c r="C239" s="92">
        <f t="shared" si="16"/>
        <v>0</v>
      </c>
      <c r="D239" s="87">
        <f t="shared" si="17"/>
        <v>0</v>
      </c>
      <c r="E239" s="87">
        <f t="shared" si="15"/>
        <v>0</v>
      </c>
      <c r="F239" s="88">
        <f t="shared" si="18"/>
        <v>0</v>
      </c>
    </row>
    <row r="240" spans="2:6" x14ac:dyDescent="0.25">
      <c r="B240" s="84">
        <v>237</v>
      </c>
      <c r="C240" s="92">
        <f t="shared" si="16"/>
        <v>0</v>
      </c>
      <c r="D240" s="87">
        <f t="shared" si="17"/>
        <v>0</v>
      </c>
      <c r="E240" s="87">
        <f t="shared" si="15"/>
        <v>0</v>
      </c>
      <c r="F240" s="88">
        <f t="shared" si="18"/>
        <v>0</v>
      </c>
    </row>
    <row r="241" spans="2:6" x14ac:dyDescent="0.25">
      <c r="B241" s="84">
        <v>238</v>
      </c>
      <c r="C241" s="92">
        <f t="shared" si="16"/>
        <v>0</v>
      </c>
      <c r="D241" s="87">
        <f t="shared" si="17"/>
        <v>0</v>
      </c>
      <c r="E241" s="87">
        <f t="shared" si="15"/>
        <v>0</v>
      </c>
      <c r="F241" s="88">
        <f t="shared" si="18"/>
        <v>0</v>
      </c>
    </row>
    <row r="242" spans="2:6" x14ac:dyDescent="0.25">
      <c r="B242" s="84">
        <v>239</v>
      </c>
      <c r="C242" s="92">
        <f t="shared" si="16"/>
        <v>0</v>
      </c>
      <c r="D242" s="87">
        <f t="shared" si="17"/>
        <v>0</v>
      </c>
      <c r="E242" s="87">
        <f t="shared" si="15"/>
        <v>0</v>
      </c>
      <c r="F242" s="88">
        <f t="shared" si="18"/>
        <v>0</v>
      </c>
    </row>
    <row r="243" spans="2:6" x14ac:dyDescent="0.25">
      <c r="B243" s="84">
        <v>240</v>
      </c>
      <c r="C243" s="92">
        <f t="shared" si="16"/>
        <v>0</v>
      </c>
      <c r="D243" s="87">
        <f t="shared" si="17"/>
        <v>0</v>
      </c>
      <c r="E243" s="87">
        <f t="shared" si="15"/>
        <v>0</v>
      </c>
      <c r="F243" s="88">
        <f t="shared" si="18"/>
        <v>0</v>
      </c>
    </row>
    <row r="244" spans="2:6" x14ac:dyDescent="0.25">
      <c r="B244" s="85">
        <v>241</v>
      </c>
      <c r="C244" s="96">
        <f t="shared" si="16"/>
        <v>0</v>
      </c>
      <c r="D244" s="97">
        <f t="shared" si="17"/>
        <v>0</v>
      </c>
      <c r="E244" s="97">
        <f t="shared" si="15"/>
        <v>0</v>
      </c>
      <c r="F244" s="98">
        <f t="shared" si="18"/>
        <v>0</v>
      </c>
    </row>
    <row r="245" spans="2:6" x14ac:dyDescent="0.25">
      <c r="B245" s="84">
        <v>242</v>
      </c>
      <c r="C245" s="92">
        <f t="shared" si="16"/>
        <v>0</v>
      </c>
      <c r="D245" s="87">
        <f t="shared" si="17"/>
        <v>0</v>
      </c>
      <c r="E245" s="87">
        <f t="shared" si="15"/>
        <v>0</v>
      </c>
      <c r="F245" s="88">
        <f t="shared" si="18"/>
        <v>0</v>
      </c>
    </row>
    <row r="246" spans="2:6" x14ac:dyDescent="0.25">
      <c r="B246" s="84">
        <v>243</v>
      </c>
      <c r="C246" s="92">
        <f t="shared" si="16"/>
        <v>0</v>
      </c>
      <c r="D246" s="87">
        <f t="shared" si="17"/>
        <v>0</v>
      </c>
      <c r="E246" s="87">
        <f t="shared" si="15"/>
        <v>0</v>
      </c>
      <c r="F246" s="88">
        <f t="shared" si="18"/>
        <v>0</v>
      </c>
    </row>
    <row r="247" spans="2:6" x14ac:dyDescent="0.25">
      <c r="B247" s="84">
        <v>244</v>
      </c>
      <c r="C247" s="92">
        <f t="shared" si="16"/>
        <v>0</v>
      </c>
      <c r="D247" s="87">
        <f t="shared" si="17"/>
        <v>0</v>
      </c>
      <c r="E247" s="87">
        <f t="shared" si="15"/>
        <v>0</v>
      </c>
      <c r="F247" s="88">
        <f t="shared" si="18"/>
        <v>0</v>
      </c>
    </row>
    <row r="248" spans="2:6" x14ac:dyDescent="0.25">
      <c r="B248" s="84">
        <v>245</v>
      </c>
      <c r="C248" s="92">
        <f t="shared" si="16"/>
        <v>0</v>
      </c>
      <c r="D248" s="87">
        <f t="shared" si="17"/>
        <v>0</v>
      </c>
      <c r="E248" s="87">
        <f t="shared" si="15"/>
        <v>0</v>
      </c>
      <c r="F248" s="88">
        <f t="shared" si="18"/>
        <v>0</v>
      </c>
    </row>
    <row r="249" spans="2:6" x14ac:dyDescent="0.25">
      <c r="B249" s="84">
        <v>246</v>
      </c>
      <c r="C249" s="92">
        <f t="shared" si="16"/>
        <v>0</v>
      </c>
      <c r="D249" s="87">
        <f t="shared" si="17"/>
        <v>0</v>
      </c>
      <c r="E249" s="87">
        <f t="shared" si="15"/>
        <v>0</v>
      </c>
      <c r="F249" s="88">
        <f t="shared" si="18"/>
        <v>0</v>
      </c>
    </row>
    <row r="250" spans="2:6" x14ac:dyDescent="0.25">
      <c r="B250" s="84">
        <v>247</v>
      </c>
      <c r="C250" s="92">
        <f t="shared" si="16"/>
        <v>0</v>
      </c>
      <c r="D250" s="87">
        <f t="shared" si="17"/>
        <v>0</v>
      </c>
      <c r="E250" s="87">
        <f t="shared" si="15"/>
        <v>0</v>
      </c>
      <c r="F250" s="88">
        <f t="shared" si="18"/>
        <v>0</v>
      </c>
    </row>
    <row r="251" spans="2:6" x14ac:dyDescent="0.25">
      <c r="B251" s="84">
        <v>248</v>
      </c>
      <c r="C251" s="92">
        <f t="shared" si="16"/>
        <v>0</v>
      </c>
      <c r="D251" s="87">
        <f t="shared" si="17"/>
        <v>0</v>
      </c>
      <c r="E251" s="87">
        <f t="shared" si="15"/>
        <v>0</v>
      </c>
      <c r="F251" s="88">
        <f t="shared" si="18"/>
        <v>0</v>
      </c>
    </row>
    <row r="252" spans="2:6" x14ac:dyDescent="0.25">
      <c r="B252" s="84">
        <v>249</v>
      </c>
      <c r="C252" s="92">
        <f t="shared" si="16"/>
        <v>0</v>
      </c>
      <c r="D252" s="87">
        <f t="shared" si="17"/>
        <v>0</v>
      </c>
      <c r="E252" s="87">
        <f t="shared" si="15"/>
        <v>0</v>
      </c>
      <c r="F252" s="88">
        <f t="shared" si="18"/>
        <v>0</v>
      </c>
    </row>
    <row r="253" spans="2:6" x14ac:dyDescent="0.25">
      <c r="B253" s="84">
        <v>250</v>
      </c>
      <c r="C253" s="92">
        <f t="shared" si="16"/>
        <v>0</v>
      </c>
      <c r="D253" s="87">
        <f t="shared" si="17"/>
        <v>0</v>
      </c>
      <c r="E253" s="87">
        <f t="shared" si="15"/>
        <v>0</v>
      </c>
      <c r="F253" s="88">
        <f t="shared" si="18"/>
        <v>0</v>
      </c>
    </row>
    <row r="254" spans="2:6" x14ac:dyDescent="0.25">
      <c r="B254" s="84">
        <v>251</v>
      </c>
      <c r="C254" s="92">
        <f t="shared" si="16"/>
        <v>0</v>
      </c>
      <c r="D254" s="87">
        <f t="shared" si="17"/>
        <v>0</v>
      </c>
      <c r="E254" s="87">
        <f t="shared" si="15"/>
        <v>0</v>
      </c>
      <c r="F254" s="88">
        <f t="shared" si="18"/>
        <v>0</v>
      </c>
    </row>
    <row r="255" spans="2:6" x14ac:dyDescent="0.25">
      <c r="B255" s="86">
        <v>252</v>
      </c>
      <c r="C255" s="89">
        <f t="shared" si="16"/>
        <v>0</v>
      </c>
      <c r="D255" s="90">
        <f t="shared" si="17"/>
        <v>0</v>
      </c>
      <c r="E255" s="90">
        <f t="shared" si="15"/>
        <v>0</v>
      </c>
      <c r="F255" s="91">
        <f t="shared" si="18"/>
        <v>0</v>
      </c>
    </row>
    <row r="256" spans="2:6" x14ac:dyDescent="0.25">
      <c r="B256" s="84">
        <v>253</v>
      </c>
      <c r="C256" s="92">
        <f t="shared" si="16"/>
        <v>0</v>
      </c>
      <c r="D256" s="87">
        <f t="shared" si="17"/>
        <v>0</v>
      </c>
      <c r="E256" s="87">
        <f t="shared" si="15"/>
        <v>0</v>
      </c>
      <c r="F256" s="88">
        <f t="shared" si="18"/>
        <v>0</v>
      </c>
    </row>
    <row r="257" spans="2:6" x14ac:dyDescent="0.25">
      <c r="B257" s="84">
        <v>254</v>
      </c>
      <c r="C257" s="92">
        <f t="shared" si="16"/>
        <v>0</v>
      </c>
      <c r="D257" s="87">
        <f t="shared" si="17"/>
        <v>0</v>
      </c>
      <c r="E257" s="87">
        <f t="shared" si="15"/>
        <v>0</v>
      </c>
      <c r="F257" s="88">
        <f t="shared" si="18"/>
        <v>0</v>
      </c>
    </row>
    <row r="258" spans="2:6" x14ac:dyDescent="0.25">
      <c r="B258" s="84">
        <v>255</v>
      </c>
      <c r="C258" s="92">
        <f t="shared" si="16"/>
        <v>0</v>
      </c>
      <c r="D258" s="87">
        <f t="shared" si="17"/>
        <v>0</v>
      </c>
      <c r="E258" s="87">
        <f t="shared" si="15"/>
        <v>0</v>
      </c>
      <c r="F258" s="88">
        <f t="shared" si="18"/>
        <v>0</v>
      </c>
    </row>
    <row r="259" spans="2:6" x14ac:dyDescent="0.25">
      <c r="B259" s="84">
        <v>256</v>
      </c>
      <c r="C259" s="92">
        <f t="shared" si="16"/>
        <v>0</v>
      </c>
      <c r="D259" s="87">
        <f t="shared" si="17"/>
        <v>0</v>
      </c>
      <c r="E259" s="87">
        <f t="shared" si="15"/>
        <v>0</v>
      </c>
      <c r="F259" s="88">
        <f t="shared" si="18"/>
        <v>0</v>
      </c>
    </row>
    <row r="260" spans="2:6" x14ac:dyDescent="0.25">
      <c r="B260" s="84">
        <v>257</v>
      </c>
      <c r="C260" s="92">
        <f t="shared" si="16"/>
        <v>0</v>
      </c>
      <c r="D260" s="87">
        <f t="shared" si="17"/>
        <v>0</v>
      </c>
      <c r="E260" s="87">
        <f t="shared" si="15"/>
        <v>0</v>
      </c>
      <c r="F260" s="88">
        <f t="shared" si="18"/>
        <v>0</v>
      </c>
    </row>
    <row r="261" spans="2:6" x14ac:dyDescent="0.25">
      <c r="B261" s="84">
        <v>258</v>
      </c>
      <c r="C261" s="92">
        <f t="shared" si="16"/>
        <v>0</v>
      </c>
      <c r="D261" s="87">
        <f t="shared" si="17"/>
        <v>0</v>
      </c>
      <c r="E261" s="87">
        <f t="shared" si="15"/>
        <v>0</v>
      </c>
      <c r="F261" s="88">
        <f t="shared" si="18"/>
        <v>0</v>
      </c>
    </row>
    <row r="262" spans="2:6" x14ac:dyDescent="0.25">
      <c r="B262" s="84">
        <v>259</v>
      </c>
      <c r="C262" s="92">
        <f t="shared" si="16"/>
        <v>0</v>
      </c>
      <c r="D262" s="87">
        <f t="shared" si="17"/>
        <v>0</v>
      </c>
      <c r="E262" s="87">
        <f t="shared" si="15"/>
        <v>0</v>
      </c>
      <c r="F262" s="88">
        <f t="shared" si="18"/>
        <v>0</v>
      </c>
    </row>
    <row r="263" spans="2:6" x14ac:dyDescent="0.25">
      <c r="B263" s="84">
        <v>260</v>
      </c>
      <c r="C263" s="92">
        <f t="shared" si="16"/>
        <v>0</v>
      </c>
      <c r="D263" s="87">
        <f t="shared" si="17"/>
        <v>0</v>
      </c>
      <c r="E263" s="87">
        <f t="shared" ref="E263:E326" si="19">$I$5*F262</f>
        <v>0</v>
      </c>
      <c r="F263" s="88">
        <f t="shared" si="18"/>
        <v>0</v>
      </c>
    </row>
    <row r="264" spans="2:6" x14ac:dyDescent="0.25">
      <c r="B264" s="84">
        <v>261</v>
      </c>
      <c r="C264" s="92">
        <f t="shared" si="16"/>
        <v>0</v>
      </c>
      <c r="D264" s="87">
        <f t="shared" si="17"/>
        <v>0</v>
      </c>
      <c r="E264" s="87">
        <f t="shared" si="19"/>
        <v>0</v>
      </c>
      <c r="F264" s="88">
        <f t="shared" si="18"/>
        <v>0</v>
      </c>
    </row>
    <row r="265" spans="2:6" x14ac:dyDescent="0.25">
      <c r="B265" s="84">
        <v>262</v>
      </c>
      <c r="C265" s="92">
        <f t="shared" si="16"/>
        <v>0</v>
      </c>
      <c r="D265" s="87">
        <f t="shared" si="17"/>
        <v>0</v>
      </c>
      <c r="E265" s="87">
        <f t="shared" si="19"/>
        <v>0</v>
      </c>
      <c r="F265" s="88">
        <f t="shared" si="18"/>
        <v>0</v>
      </c>
    </row>
    <row r="266" spans="2:6" x14ac:dyDescent="0.25">
      <c r="B266" s="84">
        <v>263</v>
      </c>
      <c r="C266" s="92">
        <f t="shared" si="16"/>
        <v>0</v>
      </c>
      <c r="D266" s="87">
        <f t="shared" si="17"/>
        <v>0</v>
      </c>
      <c r="E266" s="87">
        <f t="shared" si="19"/>
        <v>0</v>
      </c>
      <c r="F266" s="88">
        <f t="shared" si="18"/>
        <v>0</v>
      </c>
    </row>
    <row r="267" spans="2:6" x14ac:dyDescent="0.25">
      <c r="B267" s="84">
        <v>264</v>
      </c>
      <c r="C267" s="92">
        <f t="shared" si="16"/>
        <v>0</v>
      </c>
      <c r="D267" s="87">
        <f t="shared" si="17"/>
        <v>0</v>
      </c>
      <c r="E267" s="87">
        <f t="shared" si="19"/>
        <v>0</v>
      </c>
      <c r="F267" s="88">
        <f t="shared" si="18"/>
        <v>0</v>
      </c>
    </row>
    <row r="268" spans="2:6" x14ac:dyDescent="0.25">
      <c r="B268" s="85">
        <v>265</v>
      </c>
      <c r="C268" s="96">
        <f t="shared" si="16"/>
        <v>0</v>
      </c>
      <c r="D268" s="97">
        <f t="shared" si="17"/>
        <v>0</v>
      </c>
      <c r="E268" s="97">
        <f t="shared" si="19"/>
        <v>0</v>
      </c>
      <c r="F268" s="98">
        <f t="shared" si="18"/>
        <v>0</v>
      </c>
    </row>
    <row r="269" spans="2:6" x14ac:dyDescent="0.25">
      <c r="B269" s="84">
        <v>266</v>
      </c>
      <c r="C269" s="92">
        <f t="shared" si="16"/>
        <v>0</v>
      </c>
      <c r="D269" s="87">
        <f t="shared" si="17"/>
        <v>0</v>
      </c>
      <c r="E269" s="87">
        <f t="shared" si="19"/>
        <v>0</v>
      </c>
      <c r="F269" s="88">
        <f t="shared" si="18"/>
        <v>0</v>
      </c>
    </row>
    <row r="270" spans="2:6" x14ac:dyDescent="0.25">
      <c r="B270" s="84">
        <v>267</v>
      </c>
      <c r="C270" s="92">
        <f t="shared" si="16"/>
        <v>0</v>
      </c>
      <c r="D270" s="87">
        <f t="shared" si="17"/>
        <v>0</v>
      </c>
      <c r="E270" s="87">
        <f t="shared" si="19"/>
        <v>0</v>
      </c>
      <c r="F270" s="88">
        <f t="shared" si="18"/>
        <v>0</v>
      </c>
    </row>
    <row r="271" spans="2:6" x14ac:dyDescent="0.25">
      <c r="B271" s="84">
        <v>268</v>
      </c>
      <c r="C271" s="92">
        <f t="shared" si="16"/>
        <v>0</v>
      </c>
      <c r="D271" s="87">
        <f t="shared" si="17"/>
        <v>0</v>
      </c>
      <c r="E271" s="87">
        <f t="shared" si="19"/>
        <v>0</v>
      </c>
      <c r="F271" s="88">
        <f t="shared" si="18"/>
        <v>0</v>
      </c>
    </row>
    <row r="272" spans="2:6" x14ac:dyDescent="0.25">
      <c r="B272" s="84">
        <v>269</v>
      </c>
      <c r="C272" s="92">
        <f t="shared" ref="C272:C303" si="20">MIN(F271+E272,$I$3)</f>
        <v>0</v>
      </c>
      <c r="D272" s="87">
        <f t="shared" ref="D272:D303" si="21">MIN(C272-E272,F271)</f>
        <v>0</v>
      </c>
      <c r="E272" s="87">
        <f t="shared" si="19"/>
        <v>0</v>
      </c>
      <c r="F272" s="88">
        <f t="shared" ref="F272:F303" si="22">SUM(F271-D272)</f>
        <v>0</v>
      </c>
    </row>
    <row r="273" spans="2:6" x14ac:dyDescent="0.25">
      <c r="B273" s="84">
        <v>270</v>
      </c>
      <c r="C273" s="92">
        <f t="shared" si="20"/>
        <v>0</v>
      </c>
      <c r="D273" s="87">
        <f t="shared" si="21"/>
        <v>0</v>
      </c>
      <c r="E273" s="87">
        <f t="shared" si="19"/>
        <v>0</v>
      </c>
      <c r="F273" s="88">
        <f t="shared" si="22"/>
        <v>0</v>
      </c>
    </row>
    <row r="274" spans="2:6" x14ac:dyDescent="0.25">
      <c r="B274" s="84">
        <v>271</v>
      </c>
      <c r="C274" s="92">
        <f t="shared" si="20"/>
        <v>0</v>
      </c>
      <c r="D274" s="87">
        <f t="shared" si="21"/>
        <v>0</v>
      </c>
      <c r="E274" s="87">
        <f t="shared" si="19"/>
        <v>0</v>
      </c>
      <c r="F274" s="88">
        <f t="shared" si="22"/>
        <v>0</v>
      </c>
    </row>
    <row r="275" spans="2:6" x14ac:dyDescent="0.25">
      <c r="B275" s="84">
        <v>272</v>
      </c>
      <c r="C275" s="92">
        <f t="shared" si="20"/>
        <v>0</v>
      </c>
      <c r="D275" s="87">
        <f t="shared" si="21"/>
        <v>0</v>
      </c>
      <c r="E275" s="87">
        <f t="shared" si="19"/>
        <v>0</v>
      </c>
      <c r="F275" s="88">
        <f t="shared" si="22"/>
        <v>0</v>
      </c>
    </row>
    <row r="276" spans="2:6" x14ac:dyDescent="0.25">
      <c r="B276" s="84">
        <v>273</v>
      </c>
      <c r="C276" s="92">
        <f t="shared" si="20"/>
        <v>0</v>
      </c>
      <c r="D276" s="87">
        <f t="shared" si="21"/>
        <v>0</v>
      </c>
      <c r="E276" s="87">
        <f t="shared" si="19"/>
        <v>0</v>
      </c>
      <c r="F276" s="88">
        <f t="shared" si="22"/>
        <v>0</v>
      </c>
    </row>
    <row r="277" spans="2:6" x14ac:dyDescent="0.25">
      <c r="B277" s="84">
        <v>274</v>
      </c>
      <c r="C277" s="92">
        <f t="shared" si="20"/>
        <v>0</v>
      </c>
      <c r="D277" s="87">
        <f t="shared" si="21"/>
        <v>0</v>
      </c>
      <c r="E277" s="87">
        <f t="shared" si="19"/>
        <v>0</v>
      </c>
      <c r="F277" s="88">
        <f t="shared" si="22"/>
        <v>0</v>
      </c>
    </row>
    <row r="278" spans="2:6" x14ac:dyDescent="0.25">
      <c r="B278" s="84">
        <v>275</v>
      </c>
      <c r="C278" s="92">
        <f t="shared" si="20"/>
        <v>0</v>
      </c>
      <c r="D278" s="87">
        <f t="shared" si="21"/>
        <v>0</v>
      </c>
      <c r="E278" s="87">
        <f t="shared" si="19"/>
        <v>0</v>
      </c>
      <c r="F278" s="88">
        <f t="shared" si="22"/>
        <v>0</v>
      </c>
    </row>
    <row r="279" spans="2:6" x14ac:dyDescent="0.25">
      <c r="B279" s="86">
        <v>276</v>
      </c>
      <c r="C279" s="89">
        <f t="shared" si="20"/>
        <v>0</v>
      </c>
      <c r="D279" s="90">
        <f t="shared" si="21"/>
        <v>0</v>
      </c>
      <c r="E279" s="90">
        <f t="shared" si="19"/>
        <v>0</v>
      </c>
      <c r="F279" s="91">
        <f t="shared" si="22"/>
        <v>0</v>
      </c>
    </row>
    <row r="280" spans="2:6" x14ac:dyDescent="0.25">
      <c r="B280" s="84">
        <v>277</v>
      </c>
      <c r="C280" s="92">
        <f t="shared" si="20"/>
        <v>0</v>
      </c>
      <c r="D280" s="87">
        <f t="shared" si="21"/>
        <v>0</v>
      </c>
      <c r="E280" s="87">
        <f t="shared" si="19"/>
        <v>0</v>
      </c>
      <c r="F280" s="88">
        <f t="shared" si="22"/>
        <v>0</v>
      </c>
    </row>
    <row r="281" spans="2:6" x14ac:dyDescent="0.25">
      <c r="B281" s="84">
        <v>278</v>
      </c>
      <c r="C281" s="92">
        <f t="shared" si="20"/>
        <v>0</v>
      </c>
      <c r="D281" s="87">
        <f t="shared" si="21"/>
        <v>0</v>
      </c>
      <c r="E281" s="87">
        <f t="shared" si="19"/>
        <v>0</v>
      </c>
      <c r="F281" s="88">
        <f t="shared" si="22"/>
        <v>0</v>
      </c>
    </row>
    <row r="282" spans="2:6" x14ac:dyDescent="0.25">
      <c r="B282" s="84">
        <v>279</v>
      </c>
      <c r="C282" s="92">
        <f t="shared" si="20"/>
        <v>0</v>
      </c>
      <c r="D282" s="87">
        <f t="shared" si="21"/>
        <v>0</v>
      </c>
      <c r="E282" s="87">
        <f t="shared" si="19"/>
        <v>0</v>
      </c>
      <c r="F282" s="88">
        <f t="shared" si="22"/>
        <v>0</v>
      </c>
    </row>
    <row r="283" spans="2:6" x14ac:dyDescent="0.25">
      <c r="B283" s="84">
        <v>280</v>
      </c>
      <c r="C283" s="92">
        <f t="shared" si="20"/>
        <v>0</v>
      </c>
      <c r="D283" s="87">
        <f t="shared" si="21"/>
        <v>0</v>
      </c>
      <c r="E283" s="87">
        <f t="shared" si="19"/>
        <v>0</v>
      </c>
      <c r="F283" s="88">
        <f t="shared" si="22"/>
        <v>0</v>
      </c>
    </row>
    <row r="284" spans="2:6" x14ac:dyDescent="0.25">
      <c r="B284" s="84">
        <v>281</v>
      </c>
      <c r="C284" s="92">
        <f t="shared" si="20"/>
        <v>0</v>
      </c>
      <c r="D284" s="87">
        <f t="shared" si="21"/>
        <v>0</v>
      </c>
      <c r="E284" s="87">
        <f t="shared" si="19"/>
        <v>0</v>
      </c>
      <c r="F284" s="88">
        <f t="shared" si="22"/>
        <v>0</v>
      </c>
    </row>
    <row r="285" spans="2:6" x14ac:dyDescent="0.25">
      <c r="B285" s="84">
        <v>282</v>
      </c>
      <c r="C285" s="92">
        <f t="shared" si="20"/>
        <v>0</v>
      </c>
      <c r="D285" s="87">
        <f t="shared" si="21"/>
        <v>0</v>
      </c>
      <c r="E285" s="87">
        <f t="shared" si="19"/>
        <v>0</v>
      </c>
      <c r="F285" s="88">
        <f t="shared" si="22"/>
        <v>0</v>
      </c>
    </row>
    <row r="286" spans="2:6" x14ac:dyDescent="0.25">
      <c r="B286" s="84">
        <v>283</v>
      </c>
      <c r="C286" s="92">
        <f t="shared" si="20"/>
        <v>0</v>
      </c>
      <c r="D286" s="87">
        <f t="shared" si="21"/>
        <v>0</v>
      </c>
      <c r="E286" s="87">
        <f t="shared" si="19"/>
        <v>0</v>
      </c>
      <c r="F286" s="88">
        <f t="shared" si="22"/>
        <v>0</v>
      </c>
    </row>
    <row r="287" spans="2:6" x14ac:dyDescent="0.25">
      <c r="B287" s="84">
        <v>284</v>
      </c>
      <c r="C287" s="92">
        <f t="shared" si="20"/>
        <v>0</v>
      </c>
      <c r="D287" s="87">
        <f t="shared" si="21"/>
        <v>0</v>
      </c>
      <c r="E287" s="87">
        <f t="shared" si="19"/>
        <v>0</v>
      </c>
      <c r="F287" s="88">
        <f t="shared" si="22"/>
        <v>0</v>
      </c>
    </row>
    <row r="288" spans="2:6" x14ac:dyDescent="0.25">
      <c r="B288" s="84">
        <v>285</v>
      </c>
      <c r="C288" s="92">
        <f t="shared" si="20"/>
        <v>0</v>
      </c>
      <c r="D288" s="87">
        <f t="shared" si="21"/>
        <v>0</v>
      </c>
      <c r="E288" s="87">
        <f t="shared" si="19"/>
        <v>0</v>
      </c>
      <c r="F288" s="88">
        <f t="shared" si="22"/>
        <v>0</v>
      </c>
    </row>
    <row r="289" spans="2:6" x14ac:dyDescent="0.25">
      <c r="B289" s="84">
        <v>286</v>
      </c>
      <c r="C289" s="92">
        <f t="shared" si="20"/>
        <v>0</v>
      </c>
      <c r="D289" s="87">
        <f t="shared" si="21"/>
        <v>0</v>
      </c>
      <c r="E289" s="87">
        <f t="shared" si="19"/>
        <v>0</v>
      </c>
      <c r="F289" s="88">
        <f t="shared" si="22"/>
        <v>0</v>
      </c>
    </row>
    <row r="290" spans="2:6" x14ac:dyDescent="0.25">
      <c r="B290" s="84">
        <v>287</v>
      </c>
      <c r="C290" s="92">
        <f t="shared" si="20"/>
        <v>0</v>
      </c>
      <c r="D290" s="87">
        <f t="shared" si="21"/>
        <v>0</v>
      </c>
      <c r="E290" s="87">
        <f t="shared" si="19"/>
        <v>0</v>
      </c>
      <c r="F290" s="88">
        <f t="shared" si="22"/>
        <v>0</v>
      </c>
    </row>
    <row r="291" spans="2:6" x14ac:dyDescent="0.25">
      <c r="B291" s="84">
        <v>288</v>
      </c>
      <c r="C291" s="92">
        <f t="shared" si="20"/>
        <v>0</v>
      </c>
      <c r="D291" s="87">
        <f t="shared" si="21"/>
        <v>0</v>
      </c>
      <c r="E291" s="87">
        <f t="shared" si="19"/>
        <v>0</v>
      </c>
      <c r="F291" s="88">
        <f t="shared" si="22"/>
        <v>0</v>
      </c>
    </row>
    <row r="292" spans="2:6" x14ac:dyDescent="0.25">
      <c r="B292" s="85">
        <v>289</v>
      </c>
      <c r="C292" s="96">
        <f t="shared" si="20"/>
        <v>0</v>
      </c>
      <c r="D292" s="97">
        <f t="shared" si="21"/>
        <v>0</v>
      </c>
      <c r="E292" s="97">
        <f t="shared" si="19"/>
        <v>0</v>
      </c>
      <c r="F292" s="98">
        <f t="shared" si="22"/>
        <v>0</v>
      </c>
    </row>
    <row r="293" spans="2:6" x14ac:dyDescent="0.25">
      <c r="B293" s="84">
        <v>290</v>
      </c>
      <c r="C293" s="92">
        <f t="shared" si="20"/>
        <v>0</v>
      </c>
      <c r="D293" s="87">
        <f t="shared" si="21"/>
        <v>0</v>
      </c>
      <c r="E293" s="87">
        <f t="shared" si="19"/>
        <v>0</v>
      </c>
      <c r="F293" s="88">
        <f t="shared" si="22"/>
        <v>0</v>
      </c>
    </row>
    <row r="294" spans="2:6" x14ac:dyDescent="0.25">
      <c r="B294" s="84">
        <v>291</v>
      </c>
      <c r="C294" s="92">
        <f t="shared" si="20"/>
        <v>0</v>
      </c>
      <c r="D294" s="87">
        <f t="shared" si="21"/>
        <v>0</v>
      </c>
      <c r="E294" s="87">
        <f t="shared" si="19"/>
        <v>0</v>
      </c>
      <c r="F294" s="88">
        <f t="shared" si="22"/>
        <v>0</v>
      </c>
    </row>
    <row r="295" spans="2:6" x14ac:dyDescent="0.25">
      <c r="B295" s="84">
        <v>292</v>
      </c>
      <c r="C295" s="92">
        <f t="shared" si="20"/>
        <v>0</v>
      </c>
      <c r="D295" s="87">
        <f t="shared" si="21"/>
        <v>0</v>
      </c>
      <c r="E295" s="87">
        <f t="shared" si="19"/>
        <v>0</v>
      </c>
      <c r="F295" s="88">
        <f t="shared" si="22"/>
        <v>0</v>
      </c>
    </row>
    <row r="296" spans="2:6" x14ac:dyDescent="0.25">
      <c r="B296" s="84">
        <v>293</v>
      </c>
      <c r="C296" s="92">
        <f t="shared" si="20"/>
        <v>0</v>
      </c>
      <c r="D296" s="87">
        <f t="shared" si="21"/>
        <v>0</v>
      </c>
      <c r="E296" s="87">
        <f t="shared" si="19"/>
        <v>0</v>
      </c>
      <c r="F296" s="88">
        <f t="shared" si="22"/>
        <v>0</v>
      </c>
    </row>
    <row r="297" spans="2:6" x14ac:dyDescent="0.25">
      <c r="B297" s="84">
        <v>294</v>
      </c>
      <c r="C297" s="92">
        <f t="shared" si="20"/>
        <v>0</v>
      </c>
      <c r="D297" s="87">
        <f t="shared" si="21"/>
        <v>0</v>
      </c>
      <c r="E297" s="87">
        <f t="shared" si="19"/>
        <v>0</v>
      </c>
      <c r="F297" s="88">
        <f t="shared" si="22"/>
        <v>0</v>
      </c>
    </row>
    <row r="298" spans="2:6" x14ac:dyDescent="0.25">
      <c r="B298" s="84">
        <v>295</v>
      </c>
      <c r="C298" s="92">
        <f t="shared" si="20"/>
        <v>0</v>
      </c>
      <c r="D298" s="87">
        <f t="shared" si="21"/>
        <v>0</v>
      </c>
      <c r="E298" s="87">
        <f t="shared" si="19"/>
        <v>0</v>
      </c>
      <c r="F298" s="88">
        <f t="shared" si="22"/>
        <v>0</v>
      </c>
    </row>
    <row r="299" spans="2:6" x14ac:dyDescent="0.25">
      <c r="B299" s="84">
        <v>296</v>
      </c>
      <c r="C299" s="92">
        <f t="shared" si="20"/>
        <v>0</v>
      </c>
      <c r="D299" s="87">
        <f t="shared" si="21"/>
        <v>0</v>
      </c>
      <c r="E299" s="87">
        <f t="shared" si="19"/>
        <v>0</v>
      </c>
      <c r="F299" s="88">
        <f t="shared" si="22"/>
        <v>0</v>
      </c>
    </row>
    <row r="300" spans="2:6" x14ac:dyDescent="0.25">
      <c r="B300" s="84">
        <v>297</v>
      </c>
      <c r="C300" s="92">
        <f t="shared" si="20"/>
        <v>0</v>
      </c>
      <c r="D300" s="87">
        <f t="shared" si="21"/>
        <v>0</v>
      </c>
      <c r="E300" s="87">
        <f t="shared" si="19"/>
        <v>0</v>
      </c>
      <c r="F300" s="88">
        <f t="shared" si="22"/>
        <v>0</v>
      </c>
    </row>
    <row r="301" spans="2:6" x14ac:dyDescent="0.25">
      <c r="B301" s="84">
        <v>298</v>
      </c>
      <c r="C301" s="92">
        <f t="shared" si="20"/>
        <v>0</v>
      </c>
      <c r="D301" s="87">
        <f t="shared" si="21"/>
        <v>0</v>
      </c>
      <c r="E301" s="87">
        <f t="shared" si="19"/>
        <v>0</v>
      </c>
      <c r="F301" s="88">
        <f t="shared" si="22"/>
        <v>0</v>
      </c>
    </row>
    <row r="302" spans="2:6" x14ac:dyDescent="0.25">
      <c r="B302" s="84">
        <v>299</v>
      </c>
      <c r="C302" s="92">
        <f t="shared" si="20"/>
        <v>0</v>
      </c>
      <c r="D302" s="87">
        <f t="shared" si="21"/>
        <v>0</v>
      </c>
      <c r="E302" s="87">
        <f t="shared" si="19"/>
        <v>0</v>
      </c>
      <c r="F302" s="88">
        <f t="shared" si="22"/>
        <v>0</v>
      </c>
    </row>
    <row r="303" spans="2:6" x14ac:dyDescent="0.25">
      <c r="B303" s="86">
        <v>300</v>
      </c>
      <c r="C303" s="89">
        <f t="shared" si="20"/>
        <v>0</v>
      </c>
      <c r="D303" s="90">
        <f t="shared" si="21"/>
        <v>0</v>
      </c>
      <c r="E303" s="90">
        <f t="shared" si="19"/>
        <v>0</v>
      </c>
      <c r="F303" s="91">
        <f t="shared" si="22"/>
        <v>0</v>
      </c>
    </row>
    <row r="304" spans="2:6" x14ac:dyDescent="0.25">
      <c r="B304" s="85">
        <v>301</v>
      </c>
      <c r="C304" s="96">
        <f t="shared" ref="C304:C315" si="23">MIN(F303+E304,$I$3)</f>
        <v>0</v>
      </c>
      <c r="D304" s="97">
        <f t="shared" ref="D304:D315" si="24">MIN(C304-E304,F303)</f>
        <v>0</v>
      </c>
      <c r="E304" s="97">
        <f t="shared" si="19"/>
        <v>0</v>
      </c>
      <c r="F304" s="98">
        <f t="shared" ref="F304:F315" si="25">SUM(F303-D304)</f>
        <v>0</v>
      </c>
    </row>
    <row r="305" spans="2:6" x14ac:dyDescent="0.25">
      <c r="B305" s="84">
        <v>302</v>
      </c>
      <c r="C305" s="92">
        <f t="shared" si="23"/>
        <v>0</v>
      </c>
      <c r="D305" s="87">
        <f t="shared" si="24"/>
        <v>0</v>
      </c>
      <c r="E305" s="87">
        <f t="shared" si="19"/>
        <v>0</v>
      </c>
      <c r="F305" s="88">
        <f t="shared" si="25"/>
        <v>0</v>
      </c>
    </row>
    <row r="306" spans="2:6" x14ac:dyDescent="0.25">
      <c r="B306" s="84">
        <v>303</v>
      </c>
      <c r="C306" s="92">
        <f t="shared" si="23"/>
        <v>0</v>
      </c>
      <c r="D306" s="87">
        <f t="shared" si="24"/>
        <v>0</v>
      </c>
      <c r="E306" s="87">
        <f t="shared" si="19"/>
        <v>0</v>
      </c>
      <c r="F306" s="88">
        <f t="shared" si="25"/>
        <v>0</v>
      </c>
    </row>
    <row r="307" spans="2:6" x14ac:dyDescent="0.25">
      <c r="B307" s="84">
        <v>304</v>
      </c>
      <c r="C307" s="92">
        <f t="shared" si="23"/>
        <v>0</v>
      </c>
      <c r="D307" s="87">
        <f t="shared" si="24"/>
        <v>0</v>
      </c>
      <c r="E307" s="87">
        <f t="shared" si="19"/>
        <v>0</v>
      </c>
      <c r="F307" s="88">
        <f t="shared" si="25"/>
        <v>0</v>
      </c>
    </row>
    <row r="308" spans="2:6" x14ac:dyDescent="0.25">
      <c r="B308" s="84">
        <v>305</v>
      </c>
      <c r="C308" s="92">
        <f t="shared" si="23"/>
        <v>0</v>
      </c>
      <c r="D308" s="87">
        <f t="shared" si="24"/>
        <v>0</v>
      </c>
      <c r="E308" s="87">
        <f t="shared" si="19"/>
        <v>0</v>
      </c>
      <c r="F308" s="88">
        <f t="shared" si="25"/>
        <v>0</v>
      </c>
    </row>
    <row r="309" spans="2:6" x14ac:dyDescent="0.25">
      <c r="B309" s="84">
        <v>306</v>
      </c>
      <c r="C309" s="92">
        <f t="shared" si="23"/>
        <v>0</v>
      </c>
      <c r="D309" s="87">
        <f t="shared" si="24"/>
        <v>0</v>
      </c>
      <c r="E309" s="87">
        <f t="shared" si="19"/>
        <v>0</v>
      </c>
      <c r="F309" s="88">
        <f t="shared" si="25"/>
        <v>0</v>
      </c>
    </row>
    <row r="310" spans="2:6" x14ac:dyDescent="0.25">
      <c r="B310" s="84">
        <v>307</v>
      </c>
      <c r="C310" s="92">
        <f t="shared" si="23"/>
        <v>0</v>
      </c>
      <c r="D310" s="87">
        <f t="shared" si="24"/>
        <v>0</v>
      </c>
      <c r="E310" s="87">
        <f t="shared" si="19"/>
        <v>0</v>
      </c>
      <c r="F310" s="88">
        <f t="shared" si="25"/>
        <v>0</v>
      </c>
    </row>
    <row r="311" spans="2:6" x14ac:dyDescent="0.25">
      <c r="B311" s="84">
        <v>308</v>
      </c>
      <c r="C311" s="92">
        <f t="shared" si="23"/>
        <v>0</v>
      </c>
      <c r="D311" s="87">
        <f t="shared" si="24"/>
        <v>0</v>
      </c>
      <c r="E311" s="87">
        <f t="shared" si="19"/>
        <v>0</v>
      </c>
      <c r="F311" s="88">
        <f t="shared" si="25"/>
        <v>0</v>
      </c>
    </row>
    <row r="312" spans="2:6" x14ac:dyDescent="0.25">
      <c r="B312" s="84">
        <v>309</v>
      </c>
      <c r="C312" s="92">
        <f t="shared" si="23"/>
        <v>0</v>
      </c>
      <c r="D312" s="87">
        <f t="shared" si="24"/>
        <v>0</v>
      </c>
      <c r="E312" s="87">
        <f t="shared" si="19"/>
        <v>0</v>
      </c>
      <c r="F312" s="88">
        <f t="shared" si="25"/>
        <v>0</v>
      </c>
    </row>
    <row r="313" spans="2:6" x14ac:dyDescent="0.25">
      <c r="B313" s="84">
        <v>310</v>
      </c>
      <c r="C313" s="92">
        <f t="shared" si="23"/>
        <v>0</v>
      </c>
      <c r="D313" s="87">
        <f t="shared" si="24"/>
        <v>0</v>
      </c>
      <c r="E313" s="87">
        <f t="shared" si="19"/>
        <v>0</v>
      </c>
      <c r="F313" s="88">
        <f t="shared" si="25"/>
        <v>0</v>
      </c>
    </row>
    <row r="314" spans="2:6" x14ac:dyDescent="0.25">
      <c r="B314" s="84">
        <v>311</v>
      </c>
      <c r="C314" s="92">
        <f t="shared" si="23"/>
        <v>0</v>
      </c>
      <c r="D314" s="87">
        <f t="shared" si="24"/>
        <v>0</v>
      </c>
      <c r="E314" s="87">
        <f t="shared" si="19"/>
        <v>0</v>
      </c>
      <c r="F314" s="88">
        <f t="shared" si="25"/>
        <v>0</v>
      </c>
    </row>
    <row r="315" spans="2:6" x14ac:dyDescent="0.25">
      <c r="B315" s="86">
        <v>312</v>
      </c>
      <c r="C315" s="89">
        <f t="shared" si="23"/>
        <v>0</v>
      </c>
      <c r="D315" s="90">
        <f t="shared" si="24"/>
        <v>0</v>
      </c>
      <c r="E315" s="90">
        <f t="shared" si="19"/>
        <v>0</v>
      </c>
      <c r="F315" s="91">
        <f t="shared" si="25"/>
        <v>0</v>
      </c>
    </row>
    <row r="316" spans="2:6" x14ac:dyDescent="0.25">
      <c r="B316" s="85">
        <v>313</v>
      </c>
      <c r="C316" s="96">
        <f t="shared" ref="C316:C339" si="26">MIN(F315+E316,$I$3)</f>
        <v>0</v>
      </c>
      <c r="D316" s="97">
        <f t="shared" ref="D316:D339" si="27">MIN(C316-E316,F315)</f>
        <v>0</v>
      </c>
      <c r="E316" s="97">
        <f t="shared" si="19"/>
        <v>0</v>
      </c>
      <c r="F316" s="98">
        <f t="shared" ref="F316:F339" si="28">SUM(F315-D316)</f>
        <v>0</v>
      </c>
    </row>
    <row r="317" spans="2:6" x14ac:dyDescent="0.25">
      <c r="B317" s="84">
        <v>314</v>
      </c>
      <c r="C317" s="92">
        <f t="shared" si="26"/>
        <v>0</v>
      </c>
      <c r="D317" s="87">
        <f t="shared" si="27"/>
        <v>0</v>
      </c>
      <c r="E317" s="87">
        <f t="shared" si="19"/>
        <v>0</v>
      </c>
      <c r="F317" s="88">
        <f t="shared" si="28"/>
        <v>0</v>
      </c>
    </row>
    <row r="318" spans="2:6" x14ac:dyDescent="0.25">
      <c r="B318" s="84">
        <v>315</v>
      </c>
      <c r="C318" s="92">
        <f t="shared" si="26"/>
        <v>0</v>
      </c>
      <c r="D318" s="87">
        <f t="shared" si="27"/>
        <v>0</v>
      </c>
      <c r="E318" s="87">
        <f t="shared" si="19"/>
        <v>0</v>
      </c>
      <c r="F318" s="88">
        <f t="shared" si="28"/>
        <v>0</v>
      </c>
    </row>
    <row r="319" spans="2:6" x14ac:dyDescent="0.25">
      <c r="B319" s="84">
        <v>316</v>
      </c>
      <c r="C319" s="92">
        <f t="shared" si="26"/>
        <v>0</v>
      </c>
      <c r="D319" s="87">
        <f t="shared" si="27"/>
        <v>0</v>
      </c>
      <c r="E319" s="87">
        <f t="shared" si="19"/>
        <v>0</v>
      </c>
      <c r="F319" s="88">
        <f t="shared" si="28"/>
        <v>0</v>
      </c>
    </row>
    <row r="320" spans="2:6" x14ac:dyDescent="0.25">
      <c r="B320" s="84">
        <v>317</v>
      </c>
      <c r="C320" s="92">
        <f t="shared" si="26"/>
        <v>0</v>
      </c>
      <c r="D320" s="87">
        <f t="shared" si="27"/>
        <v>0</v>
      </c>
      <c r="E320" s="87">
        <f t="shared" si="19"/>
        <v>0</v>
      </c>
      <c r="F320" s="88">
        <f t="shared" si="28"/>
        <v>0</v>
      </c>
    </row>
    <row r="321" spans="2:6" x14ac:dyDescent="0.25">
      <c r="B321" s="84">
        <v>318</v>
      </c>
      <c r="C321" s="92">
        <f t="shared" si="26"/>
        <v>0</v>
      </c>
      <c r="D321" s="87">
        <f t="shared" si="27"/>
        <v>0</v>
      </c>
      <c r="E321" s="87">
        <f t="shared" si="19"/>
        <v>0</v>
      </c>
      <c r="F321" s="88">
        <f t="shared" si="28"/>
        <v>0</v>
      </c>
    </row>
    <row r="322" spans="2:6" x14ac:dyDescent="0.25">
      <c r="B322" s="84">
        <v>319</v>
      </c>
      <c r="C322" s="92">
        <f t="shared" si="26"/>
        <v>0</v>
      </c>
      <c r="D322" s="87">
        <f t="shared" si="27"/>
        <v>0</v>
      </c>
      <c r="E322" s="87">
        <f t="shared" si="19"/>
        <v>0</v>
      </c>
      <c r="F322" s="88">
        <f t="shared" si="28"/>
        <v>0</v>
      </c>
    </row>
    <row r="323" spans="2:6" x14ac:dyDescent="0.25">
      <c r="B323" s="84">
        <v>320</v>
      </c>
      <c r="C323" s="92">
        <f t="shared" si="26"/>
        <v>0</v>
      </c>
      <c r="D323" s="87">
        <f t="shared" si="27"/>
        <v>0</v>
      </c>
      <c r="E323" s="87">
        <f t="shared" si="19"/>
        <v>0</v>
      </c>
      <c r="F323" s="88">
        <f t="shared" si="28"/>
        <v>0</v>
      </c>
    </row>
    <row r="324" spans="2:6" x14ac:dyDescent="0.25">
      <c r="B324" s="84">
        <v>321</v>
      </c>
      <c r="C324" s="92">
        <f t="shared" si="26"/>
        <v>0</v>
      </c>
      <c r="D324" s="87">
        <f t="shared" si="27"/>
        <v>0</v>
      </c>
      <c r="E324" s="87">
        <f t="shared" si="19"/>
        <v>0</v>
      </c>
      <c r="F324" s="88">
        <f t="shared" si="28"/>
        <v>0</v>
      </c>
    </row>
    <row r="325" spans="2:6" x14ac:dyDescent="0.25">
      <c r="B325" s="84">
        <v>322</v>
      </c>
      <c r="C325" s="92">
        <f t="shared" si="26"/>
        <v>0</v>
      </c>
      <c r="D325" s="87">
        <f t="shared" si="27"/>
        <v>0</v>
      </c>
      <c r="E325" s="87">
        <f t="shared" si="19"/>
        <v>0</v>
      </c>
      <c r="F325" s="88">
        <f t="shared" si="28"/>
        <v>0</v>
      </c>
    </row>
    <row r="326" spans="2:6" x14ac:dyDescent="0.25">
      <c r="B326" s="84">
        <v>323</v>
      </c>
      <c r="C326" s="92">
        <f t="shared" si="26"/>
        <v>0</v>
      </c>
      <c r="D326" s="87">
        <f t="shared" si="27"/>
        <v>0</v>
      </c>
      <c r="E326" s="87">
        <f t="shared" si="19"/>
        <v>0</v>
      </c>
      <c r="F326" s="88">
        <f t="shared" si="28"/>
        <v>0</v>
      </c>
    </row>
    <row r="327" spans="2:6" x14ac:dyDescent="0.25">
      <c r="B327" s="86">
        <v>324</v>
      </c>
      <c r="C327" s="89">
        <f t="shared" si="26"/>
        <v>0</v>
      </c>
      <c r="D327" s="90">
        <f t="shared" si="27"/>
        <v>0</v>
      </c>
      <c r="E327" s="90">
        <f t="shared" ref="E327:E363" si="29">$I$5*F326</f>
        <v>0</v>
      </c>
      <c r="F327" s="91">
        <f t="shared" si="28"/>
        <v>0</v>
      </c>
    </row>
    <row r="328" spans="2:6" x14ac:dyDescent="0.25">
      <c r="B328" s="85">
        <v>325</v>
      </c>
      <c r="C328" s="96">
        <f t="shared" si="26"/>
        <v>0</v>
      </c>
      <c r="D328" s="97">
        <f t="shared" si="27"/>
        <v>0</v>
      </c>
      <c r="E328" s="97">
        <f t="shared" si="29"/>
        <v>0</v>
      </c>
      <c r="F328" s="98">
        <f t="shared" si="28"/>
        <v>0</v>
      </c>
    </row>
    <row r="329" spans="2:6" x14ac:dyDescent="0.25">
      <c r="B329" s="84">
        <v>326</v>
      </c>
      <c r="C329" s="92">
        <f t="shared" si="26"/>
        <v>0</v>
      </c>
      <c r="D329" s="87">
        <f t="shared" si="27"/>
        <v>0</v>
      </c>
      <c r="E329" s="87">
        <f t="shared" si="29"/>
        <v>0</v>
      </c>
      <c r="F329" s="88">
        <f t="shared" si="28"/>
        <v>0</v>
      </c>
    </row>
    <row r="330" spans="2:6" x14ac:dyDescent="0.25">
      <c r="B330" s="84">
        <v>327</v>
      </c>
      <c r="C330" s="92">
        <f t="shared" si="26"/>
        <v>0</v>
      </c>
      <c r="D330" s="87">
        <f t="shared" si="27"/>
        <v>0</v>
      </c>
      <c r="E330" s="87">
        <f t="shared" si="29"/>
        <v>0</v>
      </c>
      <c r="F330" s="88">
        <f t="shared" si="28"/>
        <v>0</v>
      </c>
    </row>
    <row r="331" spans="2:6" x14ac:dyDescent="0.25">
      <c r="B331" s="84">
        <v>328</v>
      </c>
      <c r="C331" s="92">
        <f t="shared" si="26"/>
        <v>0</v>
      </c>
      <c r="D331" s="87">
        <f t="shared" si="27"/>
        <v>0</v>
      </c>
      <c r="E331" s="87">
        <f t="shared" si="29"/>
        <v>0</v>
      </c>
      <c r="F331" s="88">
        <f t="shared" si="28"/>
        <v>0</v>
      </c>
    </row>
    <row r="332" spans="2:6" x14ac:dyDescent="0.25">
      <c r="B332" s="84">
        <v>329</v>
      </c>
      <c r="C332" s="92">
        <f t="shared" si="26"/>
        <v>0</v>
      </c>
      <c r="D332" s="87">
        <f t="shared" si="27"/>
        <v>0</v>
      </c>
      <c r="E332" s="87">
        <f t="shared" si="29"/>
        <v>0</v>
      </c>
      <c r="F332" s="88">
        <f t="shared" si="28"/>
        <v>0</v>
      </c>
    </row>
    <row r="333" spans="2:6" x14ac:dyDescent="0.25">
      <c r="B333" s="84">
        <v>330</v>
      </c>
      <c r="C333" s="92">
        <f t="shared" si="26"/>
        <v>0</v>
      </c>
      <c r="D333" s="87">
        <f t="shared" si="27"/>
        <v>0</v>
      </c>
      <c r="E333" s="87">
        <f t="shared" si="29"/>
        <v>0</v>
      </c>
      <c r="F333" s="88">
        <f t="shared" si="28"/>
        <v>0</v>
      </c>
    </row>
    <row r="334" spans="2:6" x14ac:dyDescent="0.25">
      <c r="B334" s="84">
        <v>331</v>
      </c>
      <c r="C334" s="92">
        <f t="shared" si="26"/>
        <v>0</v>
      </c>
      <c r="D334" s="87">
        <f t="shared" si="27"/>
        <v>0</v>
      </c>
      <c r="E334" s="87">
        <f t="shared" si="29"/>
        <v>0</v>
      </c>
      <c r="F334" s="88">
        <f t="shared" si="28"/>
        <v>0</v>
      </c>
    </row>
    <row r="335" spans="2:6" x14ac:dyDescent="0.25">
      <c r="B335" s="84">
        <v>332</v>
      </c>
      <c r="C335" s="92">
        <f t="shared" si="26"/>
        <v>0</v>
      </c>
      <c r="D335" s="87">
        <f t="shared" si="27"/>
        <v>0</v>
      </c>
      <c r="E335" s="87">
        <f t="shared" si="29"/>
        <v>0</v>
      </c>
      <c r="F335" s="88">
        <f t="shared" si="28"/>
        <v>0</v>
      </c>
    </row>
    <row r="336" spans="2:6" x14ac:dyDescent="0.25">
      <c r="B336" s="84">
        <v>333</v>
      </c>
      <c r="C336" s="92">
        <f t="shared" si="26"/>
        <v>0</v>
      </c>
      <c r="D336" s="87">
        <f t="shared" si="27"/>
        <v>0</v>
      </c>
      <c r="E336" s="87">
        <f t="shared" si="29"/>
        <v>0</v>
      </c>
      <c r="F336" s="88">
        <f t="shared" si="28"/>
        <v>0</v>
      </c>
    </row>
    <row r="337" spans="2:6" x14ac:dyDescent="0.25">
      <c r="B337" s="84">
        <v>334</v>
      </c>
      <c r="C337" s="92">
        <f t="shared" si="26"/>
        <v>0</v>
      </c>
      <c r="D337" s="87">
        <f t="shared" si="27"/>
        <v>0</v>
      </c>
      <c r="E337" s="87">
        <f t="shared" si="29"/>
        <v>0</v>
      </c>
      <c r="F337" s="88">
        <f t="shared" si="28"/>
        <v>0</v>
      </c>
    </row>
    <row r="338" spans="2:6" x14ac:dyDescent="0.25">
      <c r="B338" s="84">
        <v>335</v>
      </c>
      <c r="C338" s="92">
        <f t="shared" si="26"/>
        <v>0</v>
      </c>
      <c r="D338" s="87">
        <f t="shared" si="27"/>
        <v>0</v>
      </c>
      <c r="E338" s="87">
        <f t="shared" si="29"/>
        <v>0</v>
      </c>
      <c r="F338" s="88">
        <f t="shared" si="28"/>
        <v>0</v>
      </c>
    </row>
    <row r="339" spans="2:6" x14ac:dyDescent="0.25">
      <c r="B339" s="86">
        <v>336</v>
      </c>
      <c r="C339" s="89">
        <f t="shared" si="26"/>
        <v>0</v>
      </c>
      <c r="D339" s="90">
        <f t="shared" si="27"/>
        <v>0</v>
      </c>
      <c r="E339" s="90">
        <f t="shared" si="29"/>
        <v>0</v>
      </c>
      <c r="F339" s="91">
        <f t="shared" si="28"/>
        <v>0</v>
      </c>
    </row>
    <row r="340" spans="2:6" x14ac:dyDescent="0.25">
      <c r="B340" s="85">
        <v>337</v>
      </c>
      <c r="C340" s="96">
        <f t="shared" ref="C340:C363" si="30">MIN(F339+E340,$I$3)</f>
        <v>0</v>
      </c>
      <c r="D340" s="97">
        <f t="shared" ref="D340:D363" si="31">MIN(C340-E340,F339)</f>
        <v>0</v>
      </c>
      <c r="E340" s="97">
        <f t="shared" si="29"/>
        <v>0</v>
      </c>
      <c r="F340" s="98">
        <f t="shared" ref="F340:F363" si="32">SUM(F339-D340)</f>
        <v>0</v>
      </c>
    </row>
    <row r="341" spans="2:6" x14ac:dyDescent="0.25">
      <c r="B341" s="84">
        <v>338</v>
      </c>
      <c r="C341" s="92">
        <f t="shared" si="30"/>
        <v>0</v>
      </c>
      <c r="D341" s="87">
        <f t="shared" si="31"/>
        <v>0</v>
      </c>
      <c r="E341" s="87">
        <f t="shared" si="29"/>
        <v>0</v>
      </c>
      <c r="F341" s="88">
        <f t="shared" si="32"/>
        <v>0</v>
      </c>
    </row>
    <row r="342" spans="2:6" x14ac:dyDescent="0.25">
      <c r="B342" s="84">
        <v>339</v>
      </c>
      <c r="C342" s="92">
        <f t="shared" si="30"/>
        <v>0</v>
      </c>
      <c r="D342" s="87">
        <f t="shared" si="31"/>
        <v>0</v>
      </c>
      <c r="E342" s="87">
        <f t="shared" si="29"/>
        <v>0</v>
      </c>
      <c r="F342" s="88">
        <f t="shared" si="32"/>
        <v>0</v>
      </c>
    </row>
    <row r="343" spans="2:6" x14ac:dyDescent="0.25">
      <c r="B343" s="84">
        <v>340</v>
      </c>
      <c r="C343" s="92">
        <f t="shared" si="30"/>
        <v>0</v>
      </c>
      <c r="D343" s="87">
        <f t="shared" si="31"/>
        <v>0</v>
      </c>
      <c r="E343" s="87">
        <f t="shared" si="29"/>
        <v>0</v>
      </c>
      <c r="F343" s="88">
        <f t="shared" si="32"/>
        <v>0</v>
      </c>
    </row>
    <row r="344" spans="2:6" x14ac:dyDescent="0.25">
      <c r="B344" s="84">
        <v>341</v>
      </c>
      <c r="C344" s="92">
        <f t="shared" si="30"/>
        <v>0</v>
      </c>
      <c r="D344" s="87">
        <f t="shared" si="31"/>
        <v>0</v>
      </c>
      <c r="E344" s="87">
        <f t="shared" si="29"/>
        <v>0</v>
      </c>
      <c r="F344" s="88">
        <f t="shared" si="32"/>
        <v>0</v>
      </c>
    </row>
    <row r="345" spans="2:6" x14ac:dyDescent="0.25">
      <c r="B345" s="84">
        <v>342</v>
      </c>
      <c r="C345" s="92">
        <f t="shared" si="30"/>
        <v>0</v>
      </c>
      <c r="D345" s="87">
        <f t="shared" si="31"/>
        <v>0</v>
      </c>
      <c r="E345" s="87">
        <f t="shared" si="29"/>
        <v>0</v>
      </c>
      <c r="F345" s="88">
        <f t="shared" si="32"/>
        <v>0</v>
      </c>
    </row>
    <row r="346" spans="2:6" x14ac:dyDescent="0.25">
      <c r="B346" s="84">
        <v>343</v>
      </c>
      <c r="C346" s="92">
        <f t="shared" si="30"/>
        <v>0</v>
      </c>
      <c r="D346" s="87">
        <f t="shared" si="31"/>
        <v>0</v>
      </c>
      <c r="E346" s="87">
        <f t="shared" si="29"/>
        <v>0</v>
      </c>
      <c r="F346" s="88">
        <f t="shared" si="32"/>
        <v>0</v>
      </c>
    </row>
    <row r="347" spans="2:6" x14ac:dyDescent="0.25">
      <c r="B347" s="84">
        <v>344</v>
      </c>
      <c r="C347" s="92">
        <f t="shared" si="30"/>
        <v>0</v>
      </c>
      <c r="D347" s="87">
        <f t="shared" si="31"/>
        <v>0</v>
      </c>
      <c r="E347" s="87">
        <f t="shared" si="29"/>
        <v>0</v>
      </c>
      <c r="F347" s="88">
        <f t="shared" si="32"/>
        <v>0</v>
      </c>
    </row>
    <row r="348" spans="2:6" x14ac:dyDescent="0.25">
      <c r="B348" s="84">
        <v>345</v>
      </c>
      <c r="C348" s="92">
        <f t="shared" si="30"/>
        <v>0</v>
      </c>
      <c r="D348" s="87">
        <f t="shared" si="31"/>
        <v>0</v>
      </c>
      <c r="E348" s="87">
        <f t="shared" si="29"/>
        <v>0</v>
      </c>
      <c r="F348" s="88">
        <f t="shared" si="32"/>
        <v>0</v>
      </c>
    </row>
    <row r="349" spans="2:6" x14ac:dyDescent="0.25">
      <c r="B349" s="84">
        <v>346</v>
      </c>
      <c r="C349" s="92">
        <f t="shared" si="30"/>
        <v>0</v>
      </c>
      <c r="D349" s="87">
        <f t="shared" si="31"/>
        <v>0</v>
      </c>
      <c r="E349" s="87">
        <f t="shared" si="29"/>
        <v>0</v>
      </c>
      <c r="F349" s="88">
        <f t="shared" si="32"/>
        <v>0</v>
      </c>
    </row>
    <row r="350" spans="2:6" x14ac:dyDescent="0.25">
      <c r="B350" s="84">
        <v>347</v>
      </c>
      <c r="C350" s="92">
        <f t="shared" si="30"/>
        <v>0</v>
      </c>
      <c r="D350" s="87">
        <f t="shared" si="31"/>
        <v>0</v>
      </c>
      <c r="E350" s="87">
        <f t="shared" si="29"/>
        <v>0</v>
      </c>
      <c r="F350" s="88">
        <f t="shared" si="32"/>
        <v>0</v>
      </c>
    </row>
    <row r="351" spans="2:6" x14ac:dyDescent="0.25">
      <c r="B351" s="86">
        <v>348</v>
      </c>
      <c r="C351" s="89">
        <f t="shared" si="30"/>
        <v>0</v>
      </c>
      <c r="D351" s="90">
        <f t="shared" si="31"/>
        <v>0</v>
      </c>
      <c r="E351" s="90">
        <f t="shared" si="29"/>
        <v>0</v>
      </c>
      <c r="F351" s="91">
        <f t="shared" si="32"/>
        <v>0</v>
      </c>
    </row>
    <row r="352" spans="2:6" x14ac:dyDescent="0.25">
      <c r="B352" s="85">
        <v>349</v>
      </c>
      <c r="C352" s="96">
        <f t="shared" si="30"/>
        <v>0</v>
      </c>
      <c r="D352" s="97">
        <f t="shared" si="31"/>
        <v>0</v>
      </c>
      <c r="E352" s="97">
        <f t="shared" si="29"/>
        <v>0</v>
      </c>
      <c r="F352" s="98">
        <f t="shared" si="32"/>
        <v>0</v>
      </c>
    </row>
    <row r="353" spans="2:6" x14ac:dyDescent="0.25">
      <c r="B353" s="84">
        <v>350</v>
      </c>
      <c r="C353" s="92">
        <f t="shared" si="30"/>
        <v>0</v>
      </c>
      <c r="D353" s="87">
        <f t="shared" si="31"/>
        <v>0</v>
      </c>
      <c r="E353" s="87">
        <f t="shared" si="29"/>
        <v>0</v>
      </c>
      <c r="F353" s="88">
        <f t="shared" si="32"/>
        <v>0</v>
      </c>
    </row>
    <row r="354" spans="2:6" x14ac:dyDescent="0.25">
      <c r="B354" s="84">
        <v>351</v>
      </c>
      <c r="C354" s="92">
        <f t="shared" si="30"/>
        <v>0</v>
      </c>
      <c r="D354" s="87">
        <f t="shared" si="31"/>
        <v>0</v>
      </c>
      <c r="E354" s="87">
        <f t="shared" si="29"/>
        <v>0</v>
      </c>
      <c r="F354" s="88">
        <f t="shared" si="32"/>
        <v>0</v>
      </c>
    </row>
    <row r="355" spans="2:6" x14ac:dyDescent="0.25">
      <c r="B355" s="84">
        <v>352</v>
      </c>
      <c r="C355" s="92">
        <f t="shared" si="30"/>
        <v>0</v>
      </c>
      <c r="D355" s="87">
        <f t="shared" si="31"/>
        <v>0</v>
      </c>
      <c r="E355" s="87">
        <f t="shared" si="29"/>
        <v>0</v>
      </c>
      <c r="F355" s="88">
        <f t="shared" si="32"/>
        <v>0</v>
      </c>
    </row>
    <row r="356" spans="2:6" x14ac:dyDescent="0.25">
      <c r="B356" s="84">
        <v>353</v>
      </c>
      <c r="C356" s="92">
        <f t="shared" si="30"/>
        <v>0</v>
      </c>
      <c r="D356" s="87">
        <f t="shared" si="31"/>
        <v>0</v>
      </c>
      <c r="E356" s="87">
        <f t="shared" si="29"/>
        <v>0</v>
      </c>
      <c r="F356" s="88">
        <f t="shared" si="32"/>
        <v>0</v>
      </c>
    </row>
    <row r="357" spans="2:6" x14ac:dyDescent="0.25">
      <c r="B357" s="84">
        <v>354</v>
      </c>
      <c r="C357" s="92">
        <f t="shared" si="30"/>
        <v>0</v>
      </c>
      <c r="D357" s="87">
        <f t="shared" si="31"/>
        <v>0</v>
      </c>
      <c r="E357" s="87">
        <f t="shared" si="29"/>
        <v>0</v>
      </c>
      <c r="F357" s="88">
        <f t="shared" si="32"/>
        <v>0</v>
      </c>
    </row>
    <row r="358" spans="2:6" x14ac:dyDescent="0.25">
      <c r="B358" s="84">
        <v>355</v>
      </c>
      <c r="C358" s="92">
        <f t="shared" si="30"/>
        <v>0</v>
      </c>
      <c r="D358" s="87">
        <f t="shared" si="31"/>
        <v>0</v>
      </c>
      <c r="E358" s="87">
        <f t="shared" si="29"/>
        <v>0</v>
      </c>
      <c r="F358" s="88">
        <f t="shared" si="32"/>
        <v>0</v>
      </c>
    </row>
    <row r="359" spans="2:6" x14ac:dyDescent="0.25">
      <c r="B359" s="84">
        <v>356</v>
      </c>
      <c r="C359" s="92">
        <f t="shared" si="30"/>
        <v>0</v>
      </c>
      <c r="D359" s="87">
        <f t="shared" si="31"/>
        <v>0</v>
      </c>
      <c r="E359" s="87">
        <f t="shared" si="29"/>
        <v>0</v>
      </c>
      <c r="F359" s="88">
        <f t="shared" si="32"/>
        <v>0</v>
      </c>
    </row>
    <row r="360" spans="2:6" x14ac:dyDescent="0.25">
      <c r="B360" s="84">
        <v>357</v>
      </c>
      <c r="C360" s="92">
        <f t="shared" si="30"/>
        <v>0</v>
      </c>
      <c r="D360" s="87">
        <f t="shared" si="31"/>
        <v>0</v>
      </c>
      <c r="E360" s="87">
        <f t="shared" si="29"/>
        <v>0</v>
      </c>
      <c r="F360" s="88">
        <f t="shared" si="32"/>
        <v>0</v>
      </c>
    </row>
    <row r="361" spans="2:6" x14ac:dyDescent="0.25">
      <c r="B361" s="84">
        <v>358</v>
      </c>
      <c r="C361" s="92">
        <f t="shared" si="30"/>
        <v>0</v>
      </c>
      <c r="D361" s="87">
        <f t="shared" si="31"/>
        <v>0</v>
      </c>
      <c r="E361" s="87">
        <f t="shared" si="29"/>
        <v>0</v>
      </c>
      <c r="F361" s="88">
        <f t="shared" si="32"/>
        <v>0</v>
      </c>
    </row>
    <row r="362" spans="2:6" x14ac:dyDescent="0.25">
      <c r="B362" s="84">
        <v>359</v>
      </c>
      <c r="C362" s="92">
        <f t="shared" si="30"/>
        <v>0</v>
      </c>
      <c r="D362" s="87">
        <f t="shared" si="31"/>
        <v>0</v>
      </c>
      <c r="E362" s="87">
        <f t="shared" si="29"/>
        <v>0</v>
      </c>
      <c r="F362" s="88">
        <f t="shared" si="32"/>
        <v>0</v>
      </c>
    </row>
    <row r="363" spans="2:6" x14ac:dyDescent="0.25">
      <c r="B363" s="86">
        <v>360</v>
      </c>
      <c r="C363" s="89">
        <f t="shared" si="30"/>
        <v>0</v>
      </c>
      <c r="D363" s="90">
        <f t="shared" si="31"/>
        <v>0</v>
      </c>
      <c r="E363" s="90">
        <f t="shared" si="29"/>
        <v>0</v>
      </c>
      <c r="F363" s="91">
        <f t="shared" si="32"/>
        <v>0</v>
      </c>
    </row>
    <row r="364" spans="2:6" x14ac:dyDescent="0.25">
      <c r="C364" s="93">
        <f>SUM(C4:C303)</f>
        <v>255653.73215733346</v>
      </c>
      <c r="E364" s="93">
        <f>SUM(E4:E303)</f>
        <v>51653.732157333514</v>
      </c>
    </row>
  </sheetData>
  <mergeCells count="1">
    <mergeCell ref="B2:F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emplate_x0020_Type xmlns="3e9165d5-47ed-4c40-86bb-a3e00450dd66">Underwriting</Template_x0020_Type>
    <Subtype xmlns="3e9165d5-47ed-4c40-86bb-a3e00450dd66">Template</Subtype>
    <lcf76f155ced4ddcb4097134ff3c332f xmlns="3e9165d5-47ed-4c40-86bb-a3e00450dd66">
      <Terms xmlns="http://schemas.microsoft.com/office/infopath/2007/PartnerControls"/>
    </lcf76f155ced4ddcb4097134ff3c332f>
    <TaxCatchAll xmlns="e31a618d-cdd2-4c35-9c73-dbe17c69361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7ABD1DC302D04C84BFD1BB839F0883" ma:contentTypeVersion="12" ma:contentTypeDescription="Create a new document." ma:contentTypeScope="" ma:versionID="a41a016efe7ffa339a4e554a92a8be50">
  <xsd:schema xmlns:xsd="http://www.w3.org/2001/XMLSchema" xmlns:xs="http://www.w3.org/2001/XMLSchema" xmlns:p="http://schemas.microsoft.com/office/2006/metadata/properties" xmlns:ns2="3e9165d5-47ed-4c40-86bb-a3e00450dd66" xmlns:ns3="e31a618d-cdd2-4c35-9c73-dbe17c69361b" targetNamespace="http://schemas.microsoft.com/office/2006/metadata/properties" ma:root="true" ma:fieldsID="41e685a51288a9767c7482b6751c7b4d" ns2:_="" ns3:_="">
    <xsd:import namespace="3e9165d5-47ed-4c40-86bb-a3e00450dd66"/>
    <xsd:import namespace="e31a618d-cdd2-4c35-9c73-dbe17c6936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Template_x0020_Type" minOccurs="0"/>
                <xsd:element ref="ns2:Subtype"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9165d5-47ed-4c40-86bb-a3e00450dd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Template_x0020_Type" ma:index="11" nillable="true" ma:displayName="Department" ma:format="Dropdown" ma:internalName="Template_x0020_Type">
      <xsd:simpleType>
        <xsd:restriction base="dms:Choice">
          <xsd:enumeration value="Bank Draft Request"/>
          <xsd:enumeration value="Direct Deposit"/>
          <xsd:enumeration value="Wire Payments"/>
          <xsd:enumeration value="Other"/>
          <xsd:enumeration value="Business Development"/>
          <xsd:enumeration value="ATB Banking Templates"/>
          <xsd:enumeration value="Underwriting"/>
          <xsd:enumeration value="Enforcement"/>
          <xsd:enumeration value="Valuation"/>
          <xsd:enumeration value="Investor Relations"/>
          <xsd:enumeration value="Corporate"/>
          <xsd:enumeration value="Mortgage Administration"/>
          <xsd:enumeration value="Accounting"/>
          <xsd:enumeration value="Marketing"/>
        </xsd:restriction>
      </xsd:simpleType>
    </xsd:element>
    <xsd:element name="Subtype" ma:index="12" nillable="true" ma:displayName="Template Type" ma:format="Dropdown" ma:internalName="Subtype">
      <xsd:simpleType>
        <xsd:restriction base="dms:Choice">
          <xsd:enumeration value="Checklist"/>
          <xsd:enumeration value="Template"/>
          <xsd:enumeration value="Direct Deposit"/>
          <xsd:enumeration value="Bank Draft"/>
          <xsd:enumeration value="Wire Instructions"/>
          <xsd:enumeration value="Forms"/>
          <xsd:enumeration value="Resource Document"/>
          <xsd:enumeration value="Case Study"/>
        </xsd:restriction>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7aef305-d42d-43c9-be84-e15c55f0428e"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1a618d-cdd2-4c35-9c73-dbe17c69361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8257ba2-5939-496b-80e9-67bb83e42f10}" ma:internalName="TaxCatchAll" ma:showField="CatchAllData" ma:web="e31a618d-cdd2-4c35-9c73-dbe17c6936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AB6C84-DB7B-4542-AE76-F5764C428885}">
  <ds:schemaRefs>
    <ds:schemaRef ds:uri="http://schemas.microsoft.com/sharepoint/v3/contenttype/forms"/>
  </ds:schemaRefs>
</ds:datastoreItem>
</file>

<file path=customXml/itemProps2.xml><?xml version="1.0" encoding="utf-8"?>
<ds:datastoreItem xmlns:ds="http://schemas.openxmlformats.org/officeDocument/2006/customXml" ds:itemID="{B5F2245A-601C-488D-9D6C-9976803859EB}">
  <ds:schemaRefs>
    <ds:schemaRef ds:uri="http://schemas.microsoft.com/office/2006/metadata/properties"/>
    <ds:schemaRef ds:uri="http://schemas.microsoft.com/office/infopath/2007/PartnerControls"/>
    <ds:schemaRef ds:uri="3e9165d5-47ed-4c40-86bb-a3e00450dd66"/>
    <ds:schemaRef ds:uri="e31a618d-cdd2-4c35-9c73-dbe17c69361b"/>
  </ds:schemaRefs>
</ds:datastoreItem>
</file>

<file path=customXml/itemProps3.xml><?xml version="1.0" encoding="utf-8"?>
<ds:datastoreItem xmlns:ds="http://schemas.openxmlformats.org/officeDocument/2006/customXml" ds:itemID="{46947DD9-AAAD-4D1C-86C6-88781DEFC9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9165d5-47ed-4c40-86bb-a3e00450dd66"/>
    <ds:schemaRef ds:uri="e31a618d-cdd2-4c35-9c73-dbe17c6936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Title</vt:lpstr>
      <vt:lpstr>Instructions</vt:lpstr>
      <vt:lpstr>Debt Tool</vt:lpstr>
      <vt:lpstr>Credit Tips</vt:lpstr>
      <vt:lpstr>Equifax Credit Request</vt:lpstr>
      <vt:lpstr>TransUnion Credit Request</vt:lpstr>
      <vt:lpstr>TransUnion Investigation reques</vt:lpstr>
      <vt:lpstr>Equifax Report Update Form</vt:lpstr>
      <vt:lpstr>Amortization Schedule</vt:lpstr>
      <vt:lpstr>Data</vt:lpstr>
      <vt:lpstr>Amortization</vt:lpstr>
      <vt:lpstr>Arrears</vt:lpstr>
      <vt:lpstr>Mortgage_Term</vt:lpstr>
      <vt:lpstr>Payout_Recommendation</vt:lpstr>
      <vt:lpstr>Prepayment</vt:lpstr>
      <vt:lpstr>'Credit Tips'!Print_Area</vt:lpstr>
      <vt:lpstr>'Debt Tool'!Print_Area</vt:lpstr>
      <vt:lpstr>Instructions!Print_Area</vt:lpstr>
      <vt:lpstr>Title!Print_Area</vt:lpstr>
      <vt:lpstr>Type_of_Credit</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Dean Koeller</dc:creator>
  <cp:lastModifiedBy>Dejan Blagojevic - Calvert Home Mortgage Inv. Corp.</cp:lastModifiedBy>
  <cp:lastPrinted>2015-10-28T21:11:47Z</cp:lastPrinted>
  <dcterms:created xsi:type="dcterms:W3CDTF">2014-11-23T19:51:04Z</dcterms:created>
  <dcterms:modified xsi:type="dcterms:W3CDTF">2026-01-13T22:03:05Z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0x010100767ABD1DC302D04C84BFD1BB839F0883</vt:lpwstr>
  </property>
</Properties>
</file>